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401\"/>
    </mc:Choice>
  </mc:AlternateContent>
  <xr:revisionPtr revIDLastSave="0" documentId="13_ncr:1_{01B5AB45-090B-4845-B6C8-D6F21C8AE853}" xr6:coauthVersionLast="47" xr6:coauthVersionMax="47" xr10:uidLastSave="{00000000-0000-0000-0000-000000000000}"/>
  <bookViews>
    <workbookView xWindow="3660" yWindow="1155" windowWidth="21600" windowHeight="13710" xr2:uid="{00000000-000D-0000-FFFF-FFFF00000000}"/>
  </bookViews>
  <sheets>
    <sheet name="PROJECT" sheetId="1" r:id="rId1"/>
    <sheet name="EXPENDITURES" sheetId="2" r:id="rId2"/>
    <sheet name="NOTES" sheetId="3" r:id="rId3"/>
    <sheet name="DATA" sheetId="4" r:id="rId4"/>
    <sheet name="CHECK CLEAR" sheetId="5" r:id="rId5"/>
  </sheets>
  <definedNames>
    <definedName name="_xlnm._FilterDatabase" localSheetId="0" hidden="1">PROJECT!$A$13:$H$240</definedName>
    <definedName name="_Order1" hidden="1">255</definedName>
    <definedName name="_Order2" hidden="1">255</definedName>
    <definedName name="_xlnm.Print_Area" localSheetId="3">DATA!#REF!</definedName>
    <definedName name="_xlnm.Print_Area" localSheetId="1">EXPENDITURES!$A$1:$H$45</definedName>
    <definedName name="_xlnm.Print_Area" localSheetId="0">PROJECT!$A$13:$K$29</definedName>
    <definedName name="Print_Area_MI" localSheetId="3">DATA!#REF!</definedName>
    <definedName name="_xlnm.Print_Titles" localSheetId="0">PROJECT!$2:$12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9" i="1" l="1"/>
  <c r="E179" i="1"/>
  <c r="M150" i="1" l="1"/>
  <c r="F151" i="1"/>
  <c r="H359" i="1"/>
  <c r="G359" i="1"/>
  <c r="E359" i="1"/>
  <c r="I6" i="1" l="1"/>
  <c r="I3" i="1" l="1"/>
  <c r="F290" i="1" l="1"/>
  <c r="I2" i="1" l="1"/>
  <c r="H353" i="1" l="1"/>
  <c r="H352" i="1"/>
  <c r="H351" i="1"/>
  <c r="H350" i="1"/>
  <c r="H349" i="1"/>
  <c r="H348" i="1"/>
  <c r="H347" i="1"/>
  <c r="H345" i="1"/>
  <c r="H344" i="1"/>
  <c r="H343" i="1"/>
  <c r="H342" i="1"/>
  <c r="H341" i="1"/>
  <c r="H340" i="1"/>
  <c r="H346" i="1"/>
  <c r="H338" i="1"/>
  <c r="H337" i="1"/>
  <c r="H336" i="1"/>
  <c r="H335" i="1"/>
  <c r="H334" i="1"/>
  <c r="H333" i="1"/>
  <c r="H332" i="1"/>
  <c r="H331" i="1"/>
  <c r="H329" i="1"/>
  <c r="H328" i="1"/>
  <c r="H327" i="1"/>
  <c r="H326" i="1"/>
  <c r="H325" i="1"/>
  <c r="H323" i="1"/>
  <c r="H330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3" i="1"/>
  <c r="G304" i="1"/>
  <c r="G305" i="1"/>
  <c r="G306" i="1"/>
  <c r="G307" i="1"/>
  <c r="G308" i="1"/>
  <c r="G309" i="1"/>
  <c r="G311" i="1"/>
  <c r="G312" i="1"/>
  <c r="G313" i="1"/>
  <c r="G314" i="1"/>
  <c r="G315" i="1"/>
  <c r="G317" i="1"/>
  <c r="G319" i="1"/>
  <c r="G320" i="1"/>
  <c r="G321" i="1"/>
  <c r="G322" i="1"/>
  <c r="G323" i="1"/>
  <c r="G325" i="1"/>
  <c r="G327" i="1"/>
  <c r="G328" i="1"/>
  <c r="G329" i="1"/>
  <c r="G332" i="1"/>
  <c r="G333" i="1"/>
  <c r="G334" i="1"/>
  <c r="G335" i="1"/>
  <c r="G336" i="1"/>
  <c r="G337" i="1"/>
  <c r="G338" i="1"/>
  <c r="G346" i="1"/>
  <c r="G340" i="1"/>
  <c r="G341" i="1"/>
  <c r="G342" i="1"/>
  <c r="G343" i="1"/>
  <c r="G344" i="1"/>
  <c r="G345" i="1"/>
  <c r="G347" i="1"/>
  <c r="G348" i="1"/>
  <c r="G350" i="1"/>
  <c r="G351" i="1"/>
  <c r="G352" i="1"/>
  <c r="G277" i="1"/>
  <c r="G276" i="1"/>
  <c r="G275" i="1"/>
  <c r="G274" i="1"/>
  <c r="G273" i="1"/>
  <c r="G272" i="1"/>
  <c r="G271" i="1"/>
  <c r="G270" i="1"/>
  <c r="G269" i="1"/>
  <c r="G267" i="1"/>
  <c r="E353" i="1"/>
  <c r="E352" i="1"/>
  <c r="E351" i="1"/>
  <c r="E350" i="1"/>
  <c r="E349" i="1"/>
  <c r="E348" i="1"/>
  <c r="E347" i="1"/>
  <c r="E345" i="1"/>
  <c r="E344" i="1"/>
  <c r="E343" i="1"/>
  <c r="E342" i="1"/>
  <c r="E341" i="1"/>
  <c r="E340" i="1"/>
  <c r="E346" i="1"/>
  <c r="E338" i="1"/>
  <c r="E337" i="1"/>
  <c r="E336" i="1"/>
  <c r="E335" i="1"/>
  <c r="E334" i="1"/>
  <c r="E333" i="1"/>
  <c r="E332" i="1"/>
  <c r="E331" i="1"/>
  <c r="E329" i="1"/>
  <c r="E328" i="1"/>
  <c r="E327" i="1"/>
  <c r="E326" i="1"/>
  <c r="E325" i="1"/>
  <c r="E323" i="1"/>
  <c r="E330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I11" i="1" l="1"/>
  <c r="L11" i="1"/>
  <c r="E266" i="1" l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6" i="1"/>
  <c r="E245" i="1"/>
  <c r="E244" i="1"/>
  <c r="E243" i="1"/>
  <c r="E242" i="1"/>
  <c r="E241" i="1"/>
  <c r="H267" i="1"/>
  <c r="H266" i="1"/>
  <c r="G266" i="1"/>
  <c r="H265" i="1"/>
  <c r="G265" i="1"/>
  <c r="H264" i="1"/>
  <c r="G264" i="1"/>
  <c r="H263" i="1"/>
  <c r="G263" i="1"/>
  <c r="H262" i="1"/>
  <c r="G262" i="1"/>
  <c r="H261" i="1"/>
  <c r="G261" i="1"/>
  <c r="H259" i="1"/>
  <c r="G259" i="1"/>
  <c r="H258" i="1"/>
  <c r="G258" i="1"/>
  <c r="H257" i="1"/>
  <c r="G257" i="1"/>
  <c r="H256" i="1"/>
  <c r="G256" i="1"/>
  <c r="H255" i="1"/>
  <c r="G255" i="1"/>
  <c r="H254" i="1"/>
  <c r="G254" i="1"/>
  <c r="H253" i="1"/>
  <c r="G253" i="1"/>
  <c r="H252" i="1"/>
  <c r="G252" i="1"/>
  <c r="H251" i="1"/>
  <c r="G251" i="1"/>
  <c r="H250" i="1"/>
  <c r="G250" i="1"/>
  <c r="H249" i="1"/>
  <c r="G249" i="1"/>
  <c r="H248" i="1"/>
  <c r="G248" i="1"/>
  <c r="H247" i="1"/>
  <c r="G247" i="1"/>
  <c r="H246" i="1"/>
  <c r="G246" i="1"/>
  <c r="H245" i="1"/>
  <c r="G245" i="1"/>
  <c r="H244" i="1"/>
  <c r="H243" i="1"/>
  <c r="G243" i="1"/>
  <c r="H242" i="1"/>
  <c r="G242" i="1"/>
  <c r="H241" i="1"/>
  <c r="G241" i="1"/>
  <c r="D233" i="1" l="1"/>
  <c r="A210" i="1" l="1"/>
  <c r="F199" i="1" l="1"/>
  <c r="F192" i="1" l="1"/>
  <c r="G20" i="2" l="1"/>
  <c r="A31" i="2"/>
  <c r="F10" i="2" l="1"/>
  <c r="F9" i="2"/>
  <c r="A2" i="2"/>
  <c r="A147" i="1" l="1"/>
  <c r="E137" i="1" l="1"/>
  <c r="E138" i="1"/>
  <c r="E139" i="1"/>
  <c r="E140" i="1"/>
  <c r="E141" i="1"/>
  <c r="E142" i="1"/>
  <c r="E143" i="1"/>
  <c r="H139" i="1" l="1"/>
  <c r="G137" i="1"/>
  <c r="G138" i="1"/>
  <c r="G139" i="1"/>
  <c r="I5" i="1" l="1"/>
  <c r="I4" i="1" l="1"/>
  <c r="G97" i="1" l="1"/>
  <c r="G22" i="2" s="1"/>
  <c r="A95" i="1" l="1"/>
  <c r="D95" i="1"/>
  <c r="M2" i="1" s="1"/>
  <c r="D11" i="1" l="1"/>
  <c r="K34" i="5"/>
  <c r="F8" i="2" l="1"/>
  <c r="M5" i="1"/>
  <c r="H60" i="1"/>
  <c r="G60" i="1"/>
  <c r="E60" i="1"/>
  <c r="N2" i="1" l="1"/>
  <c r="P85" i="1"/>
  <c r="P349" i="1"/>
  <c r="N321" i="1"/>
  <c r="N3" i="1"/>
  <c r="N4" i="1"/>
  <c r="A47" i="1"/>
  <c r="A48" i="1" s="1"/>
  <c r="M91" i="1" l="1"/>
  <c r="P178" i="1"/>
  <c r="M104" i="1"/>
  <c r="P69" i="1"/>
  <c r="M311" i="1"/>
  <c r="M337" i="1"/>
  <c r="M346" i="1"/>
  <c r="M352" i="1"/>
  <c r="M350" i="1"/>
  <c r="M329" i="1"/>
  <c r="N5" i="1"/>
  <c r="A33" i="1"/>
  <c r="F18" i="1" l="1"/>
  <c r="F15" i="1" l="1"/>
  <c r="F11" i="1" s="1"/>
  <c r="L10" i="1" l="1"/>
  <c r="E15" i="1"/>
  <c r="G15" i="1"/>
  <c r="H15" i="1"/>
  <c r="E16" i="1"/>
  <c r="G16" i="1"/>
  <c r="H16" i="1"/>
  <c r="E17" i="1"/>
  <c r="G17" i="1"/>
  <c r="H17" i="1"/>
  <c r="M11" i="1" l="1"/>
  <c r="M12" i="1" l="1"/>
  <c r="I7" i="1" l="1"/>
  <c r="G12" i="2"/>
  <c r="P17" i="2"/>
  <c r="P12" i="2"/>
  <c r="P15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8" i="1"/>
  <c r="H98" i="1"/>
  <c r="E99" i="1"/>
  <c r="G99" i="1"/>
  <c r="H99" i="1"/>
  <c r="E100" i="1"/>
  <c r="H100" i="1"/>
  <c r="E101" i="1"/>
  <c r="H101" i="1"/>
  <c r="E102" i="1"/>
  <c r="G102" i="1"/>
  <c r="H102" i="1"/>
  <c r="E103" i="1"/>
  <c r="G103" i="1"/>
  <c r="H103" i="1"/>
  <c r="E104" i="1"/>
  <c r="G104" i="1"/>
  <c r="H104" i="1"/>
  <c r="E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G36" i="2" s="1"/>
  <c r="H121" i="1"/>
  <c r="E122" i="1"/>
  <c r="G122" i="1"/>
  <c r="H122" i="1"/>
  <c r="E123" i="1"/>
  <c r="G123" i="1"/>
  <c r="H123" i="1"/>
  <c r="E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H129" i="1"/>
  <c r="E130" i="1"/>
  <c r="G130" i="1"/>
  <c r="H130" i="1"/>
  <c r="E131" i="1"/>
  <c r="G131" i="1"/>
  <c r="H131" i="1"/>
  <c r="E132" i="1"/>
  <c r="G132" i="1"/>
  <c r="H132" i="1"/>
  <c r="E134" i="1"/>
  <c r="G134" i="1"/>
  <c r="H134" i="1"/>
  <c r="E135" i="1"/>
  <c r="G135" i="1"/>
  <c r="H135" i="1"/>
  <c r="E136" i="1"/>
  <c r="G136" i="1"/>
  <c r="H136" i="1"/>
  <c r="H137" i="1"/>
  <c r="H138" i="1"/>
  <c r="E133" i="1"/>
  <c r="G133" i="1"/>
  <c r="H133" i="1"/>
  <c r="G140" i="1"/>
  <c r="H140" i="1"/>
  <c r="G141" i="1"/>
  <c r="H141" i="1"/>
  <c r="G142" i="1"/>
  <c r="H142" i="1"/>
  <c r="G143" i="1"/>
  <c r="H143" i="1"/>
  <c r="E144" i="1"/>
  <c r="G144" i="1"/>
  <c r="H144" i="1"/>
  <c r="E145" i="1"/>
  <c r="G145" i="1"/>
  <c r="H145" i="1"/>
  <c r="E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H191" i="1"/>
  <c r="E192" i="1"/>
  <c r="G192" i="1"/>
  <c r="H192" i="1"/>
  <c r="E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H225" i="1"/>
  <c r="E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H239" i="1"/>
  <c r="E18" i="1"/>
  <c r="G18" i="1"/>
  <c r="H18" i="1"/>
  <c r="E19" i="1"/>
  <c r="G19" i="1"/>
  <c r="H19" i="1"/>
  <c r="E20" i="1"/>
  <c r="G20" i="1"/>
  <c r="H20" i="1"/>
  <c r="E21" i="1"/>
  <c r="G21" i="1"/>
  <c r="H21" i="1"/>
  <c r="E22" i="1"/>
  <c r="G22" i="1"/>
  <c r="H22" i="1"/>
  <c r="E23" i="1"/>
  <c r="H23" i="1"/>
  <c r="E24" i="1"/>
  <c r="H24" i="1"/>
  <c r="E25" i="1"/>
  <c r="H25" i="1"/>
  <c r="E26" i="1"/>
  <c r="H26" i="1"/>
  <c r="E27" i="1"/>
  <c r="G27" i="1"/>
  <c r="H27" i="1"/>
  <c r="E28" i="1"/>
  <c r="G28" i="1"/>
  <c r="H28" i="1"/>
  <c r="E29" i="1"/>
  <c r="G29" i="1"/>
  <c r="H29" i="1"/>
  <c r="E30" i="1"/>
  <c r="G30" i="1"/>
  <c r="H30" i="1"/>
  <c r="E31" i="1"/>
  <c r="G31" i="1"/>
  <c r="H31" i="1"/>
  <c r="E32" i="1"/>
  <c r="G32" i="1"/>
  <c r="H32" i="1"/>
  <c r="E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H87" i="1"/>
  <c r="E88" i="1"/>
  <c r="H88" i="1"/>
  <c r="E89" i="1"/>
  <c r="G89" i="1"/>
  <c r="H89" i="1"/>
  <c r="E240" i="1"/>
  <c r="G240" i="1"/>
  <c r="H240" i="1"/>
  <c r="E14" i="1"/>
  <c r="G14" i="1"/>
  <c r="H14" i="1"/>
  <c r="L12" i="1"/>
  <c r="H13" i="1"/>
  <c r="G13" i="1"/>
  <c r="E13" i="1"/>
  <c r="E11" i="1" l="1"/>
  <c r="G11" i="1"/>
  <c r="G23" i="2"/>
  <c r="H12" i="2"/>
  <c r="G21" i="2"/>
  <c r="P16" i="2"/>
  <c r="G44" i="2" l="1"/>
  <c r="G7" i="1"/>
  <c r="H11" i="1"/>
  <c r="J7" i="1" s="1"/>
</calcChain>
</file>

<file path=xl/sharedStrings.xml><?xml version="1.0" encoding="utf-8"?>
<sst xmlns="http://schemas.openxmlformats.org/spreadsheetml/2006/main" count="1140" uniqueCount="531">
  <si>
    <t>DIVISION OF FACILITIES CONSTRUCTION &amp; MANAGEMENT</t>
  </si>
  <si>
    <t xml:space="preserve">FUNDING </t>
  </si>
  <si>
    <t>PROJECT TITLE</t>
  </si>
  <si>
    <t xml:space="preserve">PROJECT   #  </t>
  </si>
  <si>
    <t>OPEN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</si>
  <si>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</si>
  <si>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</si>
  <si>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</si>
  <si>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</si>
  <si>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</si>
  <si>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</si>
  <si>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</si>
  <si>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</si>
  <si>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</si>
  <si>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</si>
  <si>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</si>
  <si>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</si>
  <si>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FUNDING:</t>
  </si>
  <si>
    <t xml:space="preserve">  TOTAL AVAILABLE FUNDING</t>
  </si>
  <si>
    <t xml:space="preserve">DESIGN  </t>
  </si>
  <si>
    <t>CONSTRUCTION</t>
  </si>
  <si>
    <t>RESERVES:</t>
  </si>
  <si>
    <t>CONT</t>
  </si>
  <si>
    <t>OBJ</t>
  </si>
  <si>
    <t>TOTAL</t>
  </si>
  <si>
    <t xml:space="preserve"> </t>
  </si>
  <si>
    <t>STATE RISK NUMBER</t>
  </si>
  <si>
    <t>RE's</t>
  </si>
  <si>
    <t>EST REV</t>
  </si>
  <si>
    <t>FY'19</t>
  </si>
  <si>
    <t>USU MOAB ACADEMIC BUILDING</t>
  </si>
  <si>
    <t>3000-300-3401-FWB-20149770</t>
  </si>
  <si>
    <t>HEF USU</t>
  </si>
  <si>
    <t>13/19</t>
  </si>
  <si>
    <t>FEDEX GMA 19C2-001</t>
  </si>
  <si>
    <t>13-19</t>
  </si>
  <si>
    <t>IET USU EST REV</t>
  </si>
  <si>
    <t>RE 19C3-414                        BILL $36.74</t>
  </si>
  <si>
    <t>PBIET10019*2289 LUNCH MEETING</t>
  </si>
  <si>
    <t>DW</t>
  </si>
  <si>
    <t>PG</t>
  </si>
  <si>
    <t>N/A</t>
  </si>
  <si>
    <t>RE 19C3-468                   BILL $230.28</t>
  </si>
  <si>
    <t>FY'20</t>
  </si>
  <si>
    <t>MHTN ARCHITECTS INC - PROGRAMMING</t>
  </si>
  <si>
    <t>2070008</t>
  </si>
  <si>
    <t xml:space="preserve">ETC GROUP INC - COMMISSIONING </t>
  </si>
  <si>
    <t>2070068</t>
  </si>
  <si>
    <t>HOGAN &amp; ASSOC CONSTR - CONTRACT CMGC</t>
  </si>
  <si>
    <t>2075009</t>
  </si>
  <si>
    <t>DESIGN/PROGRAMMING</t>
  </si>
  <si>
    <t>INSPECTION/DFCM MNGT</t>
  </si>
  <si>
    <t xml:space="preserve">INSURANCE/COMMISSIONING </t>
  </si>
  <si>
    <t>CONSTR/AMA</t>
  </si>
  <si>
    <t>USU - AMA FOR FFE, INFOR TECH, AV, USU MNGT FEE, VARIOUS CONSTR</t>
  </si>
  <si>
    <t>2075026</t>
  </si>
  <si>
    <t>CR 20M2-013                 RE 19C3-414</t>
  </si>
  <si>
    <t>CR 20M2-018                  RE 19C3-468</t>
  </si>
  <si>
    <t>MHTN ARCHITECTS INC GAX 20C5-324</t>
  </si>
  <si>
    <t>IET INCREASE USU EST REV FOR SOLAR ARRAY</t>
  </si>
  <si>
    <t>RE 20C3-29                   BILL $25,400.00</t>
  </si>
  <si>
    <t xml:space="preserve">UTAH NEW VISION CONSTR LLC - COMMISSIONING </t>
  </si>
  <si>
    <t>2070134</t>
  </si>
  <si>
    <t>ETC GROUP GAX 20C5*873</t>
  </si>
  <si>
    <t>GEO ENERGY SYS GAX 20C5*901</t>
  </si>
  <si>
    <t>ETC GRUP GAX 20C5*514</t>
  </si>
  <si>
    <t>DF</t>
  </si>
  <si>
    <t>RE 20C3- 75                     BILL $48,141.60</t>
  </si>
  <si>
    <t>SOUND GEOTHERMAL GRP GAX 20C5*1203</t>
  </si>
  <si>
    <t>CR 20M2-045                RE 20C3-029</t>
  </si>
  <si>
    <t>IDT 20C3*008 PRJ MGR FEE</t>
  </si>
  <si>
    <t>ETC GROUP GAX 20C5*1459</t>
  </si>
  <si>
    <t>CR 20M2-058             RE 20C3-075</t>
  </si>
  <si>
    <t>RE 20C3*121               BILL $82,920.00</t>
  </si>
  <si>
    <t>ETC GROUP GAX 20C8*126</t>
  </si>
  <si>
    <t>IET TRNSF FUNDS FROM 20404770, FY'20 PASS-THROUGH FUNDS FOR THIS PROJECT PER USU</t>
  </si>
  <si>
    <t xml:space="preserve">IET REDUCE USU EST REV, THE PASS-THROUGH FUNDS ARE A PART OF THIS OVERALL $9.3M COMITTMENT </t>
  </si>
  <si>
    <t>RE 20C3*161                        BILL 4,558.30</t>
  </si>
  <si>
    <t>COFC INSURANCE ITA 300 2-037</t>
  </si>
  <si>
    <t>CR 20M2-078                  RE 20C3-121</t>
  </si>
  <si>
    <t>ETC GROUP INC                AMD 001</t>
  </si>
  <si>
    <t>CO</t>
  </si>
  <si>
    <t>ETC GROUP GAX 20C5*2005</t>
  </si>
  <si>
    <t>UTAH NEW VISION CONST GAX 20C8*228</t>
  </si>
  <si>
    <t>MHTN ARCHITECTS GAX 20C7*528</t>
  </si>
  <si>
    <t>RE 20C3*202                     BILL 12,215.63</t>
  </si>
  <si>
    <t>UTAH NEW VISION CONST GAX 20C7*644</t>
  </si>
  <si>
    <t>ETC GROUP GAX 20C5*2146</t>
  </si>
  <si>
    <t>ETC GROUP GAX 20C8*126 (DUP PMT CHK CANCELLED)</t>
  </si>
  <si>
    <t>CR 20M2-088               RE 20C3-161</t>
  </si>
  <si>
    <t>RE 20C3*234                      BILL 2,231.00</t>
  </si>
  <si>
    <t>MHTN ARCHITECTS INC GAX 20C5*2247</t>
  </si>
  <si>
    <t>2070304</t>
  </si>
  <si>
    <t>CONTINGENCY</t>
  </si>
  <si>
    <t>IET INCREASE USU EST REV</t>
  </si>
  <si>
    <t>CR 20M2-101                  RE 20C3-202</t>
  </si>
  <si>
    <t>MHTN ARCHITECTS INC - DESIGN</t>
  </si>
  <si>
    <t>RE 20C3*265                           BILL $179,752.00</t>
  </si>
  <si>
    <t>ETC GROUP LLC GAX 20C5*2534</t>
  </si>
  <si>
    <t>MHTN ARCHITECTS GAX 20C5*2664</t>
  </si>
  <si>
    <t>ETC GROUP GAX 20C5*2724</t>
  </si>
  <si>
    <t>CR 20M2-108             RE 20C3-234</t>
  </si>
  <si>
    <t>ETC GROUP INC       AMD 002</t>
  </si>
  <si>
    <t>RE 20C3*305                  BILL $35,637.00</t>
  </si>
  <si>
    <t>CR 20M2-117             RE 20C3-265</t>
  </si>
  <si>
    <t>ETC GROUP LLC GAX 20C7*891</t>
  </si>
  <si>
    <t>RE 20C3*343      BILL $7,915.10</t>
  </si>
  <si>
    <t>CR 20M2-122            RE 20C3-305</t>
  </si>
  <si>
    <t>MHTN ARCHITECTS INC GAX 20C5*3588</t>
  </si>
  <si>
    <t>MHTN ARCHITECTS GAX 20C7*944</t>
  </si>
  <si>
    <t>AMA - TRANSFER THE FOLLOWING COSTS TO THE DESIGN BUDGET COMPONENT GROUP TO COVER THE DESIGN FEE PROPOSED FROM MHTN FOR FF&amp;E, $32,350 from ama co 001</t>
  </si>
  <si>
    <t>13/20</t>
  </si>
  <si>
    <t>UTAH STATE UNIVERSITY             CO 001</t>
  </si>
  <si>
    <t>HOGAN &amp; ASSOC CONST GAX 20C7*987</t>
  </si>
  <si>
    <t>RE 20C3*387    BILL $77,343.40</t>
  </si>
  <si>
    <t>CR 20M2-126             RE 20C3-343</t>
  </si>
  <si>
    <t>RESERVES CHECKED TO THIS POINT</t>
  </si>
  <si>
    <t>NP</t>
  </si>
  <si>
    <t>FY'21</t>
  </si>
  <si>
    <t>MHTN ARCHITECTS      AMD 001</t>
  </si>
  <si>
    <t>MHTN ARCHITECTS      AMD 002</t>
  </si>
  <si>
    <t>MHTN ARCHITECTS GAX 21C5*228</t>
  </si>
  <si>
    <t>SOUND GEOTHERMAL CORP GAX 20C5*900</t>
  </si>
  <si>
    <t>MHTN ARCHI GAX 20C5-569</t>
  </si>
  <si>
    <t>MHTN ARCHITECTS GAX 20C5-1141</t>
  </si>
  <si>
    <t>ETC GROUP GAX 20C8*153</t>
  </si>
  <si>
    <t>CONTRACT 2070304 - USU MOAB ACADEMIC BUILDING</t>
  </si>
  <si>
    <t>GAX30021C5000228</t>
  </si>
  <si>
    <t>MHTN ARCHITECTS INC</t>
  </si>
  <si>
    <t>04407C</t>
  </si>
  <si>
    <t>2075009-USU Moab Academic Building</t>
  </si>
  <si>
    <t>GAX30020C7000987</t>
  </si>
  <si>
    <t>20149770#1</t>
  </si>
  <si>
    <t>HOGAN &amp; ASSOCIATES CONSTRUCTION INC</t>
  </si>
  <si>
    <t>35208H</t>
  </si>
  <si>
    <t>2070304-UTAH STATE UNIVERSITY MOAB ACADEMIC BUILDING</t>
  </si>
  <si>
    <t>GAX30020C7000944</t>
  </si>
  <si>
    <t>GAX30020C5003588</t>
  </si>
  <si>
    <t>2070068-UTAH STATE UNIVERSITY MOAB ACADEMIC CLASSROOM BUILDING COMMISSIONING</t>
  </si>
  <si>
    <t>GAX30020C7000891</t>
  </si>
  <si>
    <t>19-10066-9</t>
  </si>
  <si>
    <t>ETC GROUP LLC</t>
  </si>
  <si>
    <t>46614D</t>
  </si>
  <si>
    <t>USU MOAB ACADEMIC CLASSROOM BUILDING - COMMISSIONING</t>
  </si>
  <si>
    <t>GAX30020C5002724</t>
  </si>
  <si>
    <t>19-10066-8</t>
  </si>
  <si>
    <t>GAX30020C5002664</t>
  </si>
  <si>
    <t>CONTRACT 2070068 - USU MOAB ACADEMIC CLASSROOM BUILDING</t>
  </si>
  <si>
    <t>GAX30020C5002534</t>
  </si>
  <si>
    <t>19-10066-7</t>
  </si>
  <si>
    <t>GAX30020C5002247</t>
  </si>
  <si>
    <t>CONTRACT 2070068 - UTAH STATE UNIVERSITY
 MOAB ACADEMIC CLASSROOM BUILDING</t>
  </si>
  <si>
    <t>GAX30020C5002146</t>
  </si>
  <si>
    <t>19-10066-6</t>
  </si>
  <si>
    <t>2070134-UTAH STATE UNIVERSITY
 MOAB ACADEMIC CLASSROOM BUILDING - BECX</t>
  </si>
  <si>
    <t>GAX30020C7000644</t>
  </si>
  <si>
    <t>UTAH NEW VISION CONSTRUCTION</t>
  </si>
  <si>
    <t>89347A</t>
  </si>
  <si>
    <t>2070008-UTAH STATE UNIVERSITY
 MOAB ACADEMIC BUILDING</t>
  </si>
  <si>
    <t>GAX30020C7000528</t>
  </si>
  <si>
    <t>CONTRACT 2070134-USU MOAB ACADEMIC BLDG</t>
  </si>
  <si>
    <t>GAX30020C8000228</t>
  </si>
  <si>
    <t>CONTRACT 2070068 - USU MOAB ACADEMIC BUILDING</t>
  </si>
  <si>
    <t>GAX30020C5002005</t>
  </si>
  <si>
    <t>19-10066-5</t>
  </si>
  <si>
    <t>CONTRACT 2070068-USU MOAB ACADEMIC BUILDING COMMISSIONING</t>
  </si>
  <si>
    <t>GAX30020C8000153</t>
  </si>
  <si>
    <t>19-10066-4</t>
  </si>
  <si>
    <t>ETC GROUP INC</t>
  </si>
  <si>
    <t>CONTRACT 2070068-USU Moab Academic Buildling - Cx</t>
  </si>
  <si>
    <t>GAX30020C8000126</t>
  </si>
  <si>
    <t>19-10066-3</t>
  </si>
  <si>
    <t>GAX30020C5001459</t>
  </si>
  <si>
    <t>19-10066 - 3</t>
  </si>
  <si>
    <t>CONTRACT 2070008 - USU MOAB ACADEMIC BUILDING</t>
  </si>
  <si>
    <t>GAX30020C5001141</t>
  </si>
  <si>
    <t>GAX30020C5000514</t>
  </si>
  <si>
    <t>19-066 - 1</t>
  </si>
  <si>
    <t>PO 169421 - UTAH STATE UNIVERSITY
 MOAB ACADEMIC BUILDING</t>
  </si>
  <si>
    <t>GAX30020C5000901</t>
  </si>
  <si>
    <t>20149770-1</t>
  </si>
  <si>
    <t>GEO ENERGY SYSTEMS INC</t>
  </si>
  <si>
    <t>VC226150</t>
  </si>
  <si>
    <t>PO 169261 - UTAH STATE UNIVERSITY
 MOAB ACADEMIC  BUILDING</t>
  </si>
  <si>
    <t>GAX30020C5000900</t>
  </si>
  <si>
    <t>SOUND GEOTHERMAL CORP</t>
  </si>
  <si>
    <t>VC0000179201</t>
  </si>
  <si>
    <t>GAX30020C5000873</t>
  </si>
  <si>
    <t>19-10066-2</t>
  </si>
  <si>
    <t>GAX30020C5000569</t>
  </si>
  <si>
    <t>GAX30020C5000324</t>
  </si>
  <si>
    <t>ACCT 1037-7558-2 TRK 814577815681 DFCM, SLC TO THOMAS GRAHAM</t>
  </si>
  <si>
    <t>GMA30019C2000001</t>
  </si>
  <si>
    <t>6-595-67717</t>
  </si>
  <si>
    <t>FEDERAL EXPRESS CO GOVERNMENT SALES</t>
  </si>
  <si>
    <t>35454H</t>
  </si>
  <si>
    <t>ACCT 1037-7558-2 TRK 814577815670 DFCM, SLC TO MATT BOYER, MORGAN</t>
  </si>
  <si>
    <t>ACCT 1037-7558-2 TRK 814577815784 DFCM, SLC TO THOMAS GRAHAM, LOGAN</t>
  </si>
  <si>
    <t>ACCT 1037-7558-2 TRK 814577815590 LANA EDWARDS WAYMS, SLC TO DEREK APYNE, SLC</t>
  </si>
  <si>
    <t>Amount</t>
  </si>
  <si>
    <t>Line Description</t>
  </si>
  <si>
    <t>Ref Tran ID</t>
  </si>
  <si>
    <t>Invoice Number</t>
  </si>
  <si>
    <t>Unit</t>
  </si>
  <si>
    <t>Dept</t>
  </si>
  <si>
    <t>Vendor Name</t>
  </si>
  <si>
    <t>Vendor Number</t>
  </si>
  <si>
    <t>EFT Effective Date</t>
  </si>
  <si>
    <t>Bank Clear Date</t>
  </si>
  <si>
    <t>Check/EFT Number</t>
  </si>
  <si>
    <t>GAX30020C5001203</t>
  </si>
  <si>
    <t>PO 169261 - MOAB ACADEMIC  BUILDING</t>
  </si>
  <si>
    <t>CR 21M2-008               RE 20C3-383</t>
  </si>
  <si>
    <t>UTAH NEW VISION CONST GAX 21C7*160</t>
  </si>
  <si>
    <t>MHTN ARCHITECTS GAX 21C7*177</t>
  </si>
  <si>
    <t>RE 21C3*022          BILL $70,044.60</t>
  </si>
  <si>
    <t>RE 21C3*56      BILL $118,760.00</t>
  </si>
  <si>
    <t>IET INCREASE USU EST REV PER USU FUNDING  LETTER</t>
  </si>
  <si>
    <t>DFCM ENERGY LOAN $115,000</t>
  </si>
  <si>
    <t>USU</t>
  </si>
  <si>
    <t>STATE PASS THROUGH FUNDS</t>
  </si>
  <si>
    <t>ENERGY LOAN</t>
  </si>
  <si>
    <t>WC3 GAX 21C5*610</t>
  </si>
  <si>
    <t>SHUMS CODA ASSOCIATES, INC. - CONTRACT</t>
  </si>
  <si>
    <t>2170735</t>
  </si>
  <si>
    <t>UTAH STATE UNIV GAX 21C7*370</t>
  </si>
  <si>
    <t>HOGAN &amp; ASSOCIATES CONSTRUCTION, INC. - CONTRACT</t>
  </si>
  <si>
    <t>2175183</t>
  </si>
  <si>
    <t>UT ST FIRE MARSHALL GAX 21C5*611</t>
  </si>
  <si>
    <t>USU       CO 002</t>
  </si>
  <si>
    <t>HOGAN &amp; ASSOC CONST GAX 21C7*489</t>
  </si>
  <si>
    <t>RE 21C3*90               BILL $209,984.01</t>
  </si>
  <si>
    <t>ETC GRUP                AMD 003</t>
  </si>
  <si>
    <t>CR 21M2*044     RE 21C3*056</t>
  </si>
  <si>
    <t>CR 21M2*035     RE 21C3*022</t>
  </si>
  <si>
    <t>ETC GROUP GAX 21C5*919</t>
  </si>
  <si>
    <t>ETC GROUP GAX 21C5*920</t>
  </si>
  <si>
    <t>WC3 GAX 21C5*796</t>
  </si>
  <si>
    <t>IDT 300 21C3*022 PROJ MNGR FEES</t>
  </si>
  <si>
    <t>RE 21C3*122     BILL $6,975.09</t>
  </si>
  <si>
    <t>MHTN ARCHITECTS GAX 21C7*679</t>
  </si>
  <si>
    <t>USU GAX 21C5*1123</t>
  </si>
  <si>
    <t>CR 21M2*052     RE 21C3*090</t>
  </si>
  <si>
    <t>HOGAN &amp; ASSOC CONST GAX 21C8*315</t>
  </si>
  <si>
    <t>ZIONS/HOGAN &amp; ASSOC RTNG GAX 21C8*316</t>
  </si>
  <si>
    <t>RE 21C3*155     BILL $25,208.85</t>
  </si>
  <si>
    <t>SHUMS CODA ASSOC GAX 21C7*898</t>
  </si>
  <si>
    <t>MHTN ARCHITECTS GAX 21C5*1447</t>
  </si>
  <si>
    <t>COFC ITA 21*037</t>
  </si>
  <si>
    <t>CR 21M2*060     RE 21C3*122</t>
  </si>
  <si>
    <t>RE 21C3*192     BILL $524,800.18</t>
  </si>
  <si>
    <t>HOGAN &amp; ASSOC CONST                CO 001</t>
  </si>
  <si>
    <t>SHUMS CODA ASSOC GAX 21C8*470</t>
  </si>
  <si>
    <t>USU GAX 21C7*1036</t>
  </si>
  <si>
    <t>ETC GROUP LLC GAX  21C8*489</t>
  </si>
  <si>
    <t>ETC GROUP LLC GAX  21C8*490</t>
  </si>
  <si>
    <t>USU            CO 003</t>
  </si>
  <si>
    <t>SHUMS CODA ASSOC GAX 21C7*1086</t>
  </si>
  <si>
    <t>CR 21M2*067     RE 21C3*155</t>
  </si>
  <si>
    <t>PBIET10021*540030 AGENT FEE</t>
  </si>
  <si>
    <t>UTAH NEW VISION CONST GAX 21C8*531</t>
  </si>
  <si>
    <t>CR 21M5*004     RE 21C3*192</t>
  </si>
  <si>
    <t>USU GAX 21C5*1763</t>
  </si>
  <si>
    <t>MHTN ARCHITECTS INC GAX 21C7*1217</t>
  </si>
  <si>
    <t>RE 21C3*231     BILL $37,453.96</t>
  </si>
  <si>
    <t>PBIET100210307010430030 AGENT FEE</t>
  </si>
  <si>
    <t>RE 21C3*267     BILL $22,696.82</t>
  </si>
  <si>
    <t>ETC GROUP GAX 21C5*2043</t>
  </si>
  <si>
    <t>MTHN ARCITECTS GAX 21C8*0467</t>
  </si>
  <si>
    <t>MHTN ARCHITECTS GAX 21C5*2045</t>
  </si>
  <si>
    <t>UTAH NEW VISION CONST GAX 21C9*051</t>
  </si>
  <si>
    <t>PBIET10021*4230033 AGENT FEE</t>
  </si>
  <si>
    <t>CR 21M2*076    RE 21C3*231</t>
  </si>
  <si>
    <t>MHTN ARCHITECTS      AMD 003</t>
  </si>
  <si>
    <t>IET INCREASE USU EST REV PER USU FUNDING  LETTER MAY 2021</t>
  </si>
  <si>
    <t>ZIONS/HOGAN &amp; ASSOC CONST RTNG GAX 21C5*2198</t>
  </si>
  <si>
    <t>HOGAN &amp; ASSOC GAX 21C5*2199</t>
  </si>
  <si>
    <t>WC3 PLAN REVIEW SVCS GAX 21C5*2196</t>
  </si>
  <si>
    <t>RE 21C3*300     BILL $456,603.40</t>
  </si>
  <si>
    <t>SHUMS CODA ASSOC GAX 21C7*1530</t>
  </si>
  <si>
    <t>MHTN ARCHITECTS GAX 21C9*164</t>
  </si>
  <si>
    <t>CR 21M2*085     RE 21C3*267</t>
  </si>
  <si>
    <t>UTAH STATE UNIV GAX 21C7*1545</t>
  </si>
  <si>
    <t>ETC GROUP GAX 21C9*194</t>
  </si>
  <si>
    <t>UTAH NEW VISION CONST GAX 21C7*1600</t>
  </si>
  <si>
    <t>PBIET100210513114090032 AGENT FEE</t>
  </si>
  <si>
    <t>SHUMS CODA ASSOC GAX 21C9*370</t>
  </si>
  <si>
    <t>RE 21C3*332     BILL $62,824.66</t>
  </si>
  <si>
    <t>MHTN ARCHI GAX 21C9*431</t>
  </si>
  <si>
    <t>ZIONS/HOGAN &amp; ASSOC CONST RTNG GAX 21C7*1658</t>
  </si>
  <si>
    <t>HOGAN &amp; ASSOC GAX 21C7*1659</t>
  </si>
  <si>
    <t>PBIET 21*60039 AGENT FEES</t>
  </si>
  <si>
    <t>USU GAX 21C5*2401</t>
  </si>
  <si>
    <t>ZIONS/HOGAN &amp; ASSOC RTNG GAX 21C7*1719</t>
  </si>
  <si>
    <t>HOGAN &amp; ASSOC CONST GAX 21C7*1720</t>
  </si>
  <si>
    <t>ZIONS/HOGAN &amp; ASSOC RTNG GAX 21C7*1721</t>
  </si>
  <si>
    <t>HOGAN &amp; ASSOC CONST GAX 21C7*1722</t>
  </si>
  <si>
    <t>ZIONS/HOGAN &amp; ASSOC RTNG  GAX 21C7*1723</t>
  </si>
  <si>
    <t>HOGAN &amp; ASSOC GAX 21C7*1724</t>
  </si>
  <si>
    <t>ZIONS/HOGAN &amp; ASSOC RTNG  GAX 21C7*1725</t>
  </si>
  <si>
    <t>HOGAN &amp; ASSOC GAX 21C7*1726</t>
  </si>
  <si>
    <t>13/21</t>
  </si>
  <si>
    <t>MHTN ARCHI GAX 21C9*784</t>
  </si>
  <si>
    <t>CR 21M2*095     RE 21C3*300</t>
  </si>
  <si>
    <t>CR 21M2*097     RE 21C3*332</t>
  </si>
  <si>
    <t>ETC GROUP GAX 21C9*834</t>
  </si>
  <si>
    <t>WRONG AMOUNT KEYED IN</t>
  </si>
  <si>
    <t>Need to fix this RE since wrong amount was bill</t>
  </si>
  <si>
    <t>np</t>
  </si>
  <si>
    <t>PROJECT #20149770</t>
  </si>
  <si>
    <t>EXPENDITURE TOTALS TO JULY 9, 2021</t>
  </si>
  <si>
    <t>USU FUNDING</t>
  </si>
  <si>
    <t xml:space="preserve">STATE FY'20 PASS-THROUGH FUNDING </t>
  </si>
  <si>
    <t xml:space="preserve">DFCM ENERGY LOAN FUND </t>
  </si>
  <si>
    <t>EXPENDITURES TO DATE:</t>
  </si>
  <si>
    <t>ACTUAL EXPENDITURES</t>
  </si>
  <si>
    <t>MHTN Architects Inc - Programming</t>
  </si>
  <si>
    <t>COMMISSIONING</t>
  </si>
  <si>
    <t xml:space="preserve">ETC Group - Commissioning </t>
  </si>
  <si>
    <t>Misc. Expendtiures</t>
  </si>
  <si>
    <t xml:space="preserve">Hogan &amp; Assoc Construction Inc. </t>
  </si>
  <si>
    <t xml:space="preserve">USU AMA for Furnishings, IT, AV, USU fees, etc. </t>
  </si>
  <si>
    <t>Utah New Vision Construction</t>
  </si>
  <si>
    <t>MHTN Architects Inc - Design</t>
  </si>
  <si>
    <t>INSPECTION</t>
  </si>
  <si>
    <t>Shums Coda Assoc Inc</t>
  </si>
  <si>
    <t>Sound Geothermal Corp</t>
  </si>
  <si>
    <t>Geo Energy Systems</t>
  </si>
  <si>
    <t>DFCM MANAGEMENT FEES</t>
  </si>
  <si>
    <t xml:space="preserve">COURSE OF CONSTRUCTION INSURANCE </t>
  </si>
  <si>
    <t>EXPENDITURES TO DATE</t>
  </si>
  <si>
    <t>WC3 - plan reviews</t>
  </si>
  <si>
    <t>Utah State Fire Marshall Review</t>
  </si>
  <si>
    <t>RE 21C3*371     BILL $3,308,308.93 (was $2,072,966.38)</t>
  </si>
  <si>
    <t>13-21</t>
  </si>
  <si>
    <t>USU GAX 21C5*2502</t>
  </si>
  <si>
    <t>SHUMS CODA ASSOC GAX 21C9*896</t>
  </si>
  <si>
    <t>WC3 GAX 21C5*2485</t>
  </si>
  <si>
    <t>ENERY LOAN FUNDS TRNSFRED FROM PRJ 20415770</t>
  </si>
  <si>
    <t>PBIET 100 21*460039</t>
  </si>
  <si>
    <t>RE 21C3*404     BILL $406,541.85</t>
  </si>
  <si>
    <t>JVA 100 21F*364        ENERGY LOAN FUNDS</t>
  </si>
  <si>
    <t>JVA  100 21F*944       RETURN ENGERY LOANS THAT WERE DOUBLE DRAWN</t>
  </si>
  <si>
    <t>RE 21C3*421     BILL $7.40</t>
  </si>
  <si>
    <t>FY'22</t>
  </si>
  <si>
    <t>USU     CO 004</t>
  </si>
  <si>
    <t>WC3 GAX 22C5*099</t>
  </si>
  <si>
    <t>HOGAN &amp; ASSOC CONST     CO 002</t>
  </si>
  <si>
    <t>CR 22M2*010     RE 21C3*371</t>
  </si>
  <si>
    <t>4760</t>
  </si>
  <si>
    <t>CR 22M2*010     RE 21C3*404</t>
  </si>
  <si>
    <t>CR 22M2*013     RE 21C3*421</t>
  </si>
  <si>
    <t>USU GAX 22C5*188</t>
  </si>
  <si>
    <t>RE 22C3*22     BILL $33,843.81</t>
  </si>
  <si>
    <t>PBIET100220925609140046 AGENT FEES</t>
  </si>
  <si>
    <t>ZIONS/HOGAN &amp; ASSOC RTNG FC2021092277</t>
  </si>
  <si>
    <t>HOGAN &amp; ASSOC FC2021092276</t>
  </si>
  <si>
    <t>MHTN ARCHI GAX FC20210927207</t>
  </si>
  <si>
    <t>MHTN ARCHI GAX FC20210930352</t>
  </si>
  <si>
    <t>UT NEW VISION GAX FC20210930329</t>
  </si>
  <si>
    <t>HOGAN &amp; ASSOC GAX FC20211015755</t>
  </si>
  <si>
    <t>RE 22C3*49    BILL $974,757.42</t>
  </si>
  <si>
    <t>SHUMS CODA ASSOC GAX FC20211004479</t>
  </si>
  <si>
    <t>AMA CO 004</t>
  </si>
  <si>
    <t>SHUMS CODA ASSOC GAX FC20211004414</t>
  </si>
  <si>
    <t>IET INCREASE USU EST REV FOR AMA CO 005</t>
  </si>
  <si>
    <t>ZIONS/HOGAN &amp; ASSOC RTNG GAX FC20211015756</t>
  </si>
  <si>
    <t>MHTN ARCHI GAX FC202110291029</t>
  </si>
  <si>
    <t>USU     CO 005</t>
  </si>
  <si>
    <t>MHTN ARCHITECTS GAX FC202111091327</t>
  </si>
  <si>
    <t>USU GAX FC202111091334</t>
  </si>
  <si>
    <t>CR 22M2*027     RE 22C3*022</t>
  </si>
  <si>
    <t>PBIET 100 22*440044 AGENT FEE</t>
  </si>
  <si>
    <t>MHTN ARCHI     AMD 004</t>
  </si>
  <si>
    <t>ETC GAX FC202111151383</t>
  </si>
  <si>
    <t>UT NEW VISION GAX FC202111151384</t>
  </si>
  <si>
    <t>HOGAN &amp; ASSOC GAX FC202111151402</t>
  </si>
  <si>
    <t>ZIONS/HOGAN &amp; ASSOC RTNG GAX FC202111151403</t>
  </si>
  <si>
    <t>UT NEW VISION GAX FC202111171462</t>
  </si>
  <si>
    <t>CR 22M2*034     RE 22C3*049</t>
  </si>
  <si>
    <t>HOGAN &amp; ASSOC CONSTR- CO 003</t>
  </si>
  <si>
    <t>HOGAN &amp; ASSOC CONSTR - CO 004</t>
  </si>
  <si>
    <t>SHUMS CODA GAX FC202112091841</t>
  </si>
  <si>
    <t>PBIET100221234715420045 AGENT FEE</t>
  </si>
  <si>
    <t>RE 22C3*82     BILL $912,360.71</t>
  </si>
  <si>
    <t>MHTN ARCHI GAX FC202112212062</t>
  </si>
  <si>
    <t>PBIET 100 22*5420045 AGENT FEE</t>
  </si>
  <si>
    <t>USU GAX FC202112232135</t>
  </si>
  <si>
    <t>IET INCREASE USU EST REV FOR IMPACT FEES</t>
  </si>
  <si>
    <t xml:space="preserve">RE USU 92.68% OF EXPENSES </t>
  </si>
  <si>
    <t>SHUMS CODA GAX FC202112302219</t>
  </si>
  <si>
    <t>CR 22M2*041     RE 22C3*082</t>
  </si>
  <si>
    <t>RE 22C3*115     BILL $536,678.68</t>
  </si>
  <si>
    <t>MHTN ARCHI GAX FC202201252645</t>
  </si>
  <si>
    <t>USU GAX FC202201312804</t>
  </si>
  <si>
    <t>CR 22M5*003     RE 22C3*115</t>
  </si>
  <si>
    <t>UT NEW VISION GAX FC202202022839</t>
  </si>
  <si>
    <t>SHUMS CODA GAX FC202202042889</t>
  </si>
  <si>
    <t>HOGAN &amp; ASSOC GAX FC202202072946</t>
  </si>
  <si>
    <t>ZIONS/HOGAN &amp; ASSOC RTNG GAX FC202202072947</t>
  </si>
  <si>
    <t>USU     CO 006</t>
  </si>
  <si>
    <t>GRAND WATER &amp; SEWER GAX FC202202092986</t>
  </si>
  <si>
    <t>HOGAN &amp; ASSOC GAX FC202202153098</t>
  </si>
  <si>
    <t>ZIONS/HOGAN RTNG GAX FC202202153099</t>
  </si>
  <si>
    <t>MHTN ARCHI GAX FC202202173134</t>
  </si>
  <si>
    <t>HOGAN &amp; ASSOC GAX FC202202183160</t>
  </si>
  <si>
    <t>ZIONS/HOGAN RTNG GAX FC202202183161</t>
  </si>
  <si>
    <t>HOGAN &amp; ASSOC GAX FC202202223204</t>
  </si>
  <si>
    <t>ZIONS/HOGAN RTNG GAX FC202202223205</t>
  </si>
  <si>
    <t>PBIET100221131508540038 AGENT FEE</t>
  </si>
  <si>
    <t>USU GAX FC202203013309</t>
  </si>
  <si>
    <t>RE 22C3*151     BILL $74,606.82</t>
  </si>
  <si>
    <t>CR 22M5*013     RE 22C3*151</t>
  </si>
  <si>
    <t>RE 22C3*180     BILL $1,106,445.65</t>
  </si>
  <si>
    <t>SHUMS CODA ASSOC GAXGC202203043393</t>
  </si>
  <si>
    <t>ETC GROUP GAX FC202203073439</t>
  </si>
  <si>
    <t>RE 22C3*209     BILL $1,060,021.38</t>
  </si>
  <si>
    <t>USU     CO 007</t>
  </si>
  <si>
    <t>MHTN ARCHI GAX FC202203293880</t>
  </si>
  <si>
    <t>PBIET100220307008270043 AGENT FEE</t>
  </si>
  <si>
    <t>SHUMS CODA ASSOC GAX FC202204013973</t>
  </si>
  <si>
    <t>CR 22M5*025     RE 22C3*180</t>
  </si>
  <si>
    <t>RE 22C3*244     BILL $15,831.36</t>
  </si>
  <si>
    <t>MHTN ARCHI GAX FC202204224401</t>
  </si>
  <si>
    <t>IET INCREASE USU EST REV FOR AMA CO 008</t>
  </si>
  <si>
    <t>USU     CO 008</t>
  </si>
  <si>
    <t>SHUMS CODA GAX FC202205024560</t>
  </si>
  <si>
    <t>USU GAX FC202205034631</t>
  </si>
  <si>
    <t>HOGAN &amp; ASSOC GAX FC202204294548</t>
  </si>
  <si>
    <t>ZIONS/HOGAN RTNG GAX FC202204294549</t>
  </si>
  <si>
    <t>RE 22C3*280     BILL $264,623.18</t>
  </si>
  <si>
    <t>MHTN ARCHITECTS GAX FC202205114913</t>
  </si>
  <si>
    <t>CR 22M5*052     RE 22C3*209</t>
  </si>
  <si>
    <t>CR 22M5*056     RE 22C3*244</t>
  </si>
  <si>
    <t>HOGAN &amp; ASSOC GAX FC202206025457</t>
  </si>
  <si>
    <t>ZIONS/HOGAN RTNG GAX FC202206025458</t>
  </si>
  <si>
    <t>ETC GROUP GAX FC202206065546</t>
  </si>
  <si>
    <t>HOGAN &amp; ASSOC GAX FC202206075617</t>
  </si>
  <si>
    <t>ZIONS/HOGAN &amp; ASSOC RTNG GAX FC202206075618</t>
  </si>
  <si>
    <t>PBIET100220513108540042 AGENT FEE</t>
  </si>
  <si>
    <t>RE 22C3*313     BILL $816,741.31</t>
  </si>
  <si>
    <t>HOGAN &amp; ASSOC GAX FC202206145881</t>
  </si>
  <si>
    <t>ZIOS/HOGAN ASSOC RTNG GAX FC202206145882</t>
  </si>
  <si>
    <t>MHTN ARCHI GAX FC202206226009</t>
  </si>
  <si>
    <t>UT ST UNIV GAX 22C5*461</t>
  </si>
  <si>
    <t>HOGAN &amp; ASSOC GAX 22C7*177</t>
  </si>
  <si>
    <t>2175138</t>
  </si>
  <si>
    <t>ZIONS/HOGAN RTNG GAX 22C7*178</t>
  </si>
  <si>
    <t>PBIET100220204207340042 AGENT FEES</t>
  </si>
  <si>
    <t>13/22</t>
  </si>
  <si>
    <t>CR 22M5*072     RE 22C3*280</t>
  </si>
  <si>
    <t>USU GAX 22C9*818</t>
  </si>
  <si>
    <t>RE 22C3*349     BILL $467,880.87</t>
  </si>
  <si>
    <t>RE 22C3*384     BILL $302,866.42</t>
  </si>
  <si>
    <t>FY'23</t>
  </si>
  <si>
    <t>CR 23M5*001     RE 22C3*313</t>
  </si>
  <si>
    <t>CR 23M5*011     RE 22C3*384</t>
  </si>
  <si>
    <t>CR 23M5*011     RE 22C3*349</t>
  </si>
  <si>
    <t>HOGAN &amp; ASSOC     CO 005</t>
  </si>
  <si>
    <t>USU     CO 009</t>
  </si>
  <si>
    <t>USU GAX FC202209067816</t>
  </si>
  <si>
    <t>HOGAN &amp; ASSOC GAX FC202209128011</t>
  </si>
  <si>
    <t>RE 23C3*26     BILL $880,216.59</t>
  </si>
  <si>
    <t>HOGAN &amp; ASSOC GAX FC202209299006</t>
  </si>
  <si>
    <t>CR 23M5*039     RE 23C3*026</t>
  </si>
  <si>
    <t>USU GAX FC2022102710181</t>
  </si>
  <si>
    <t>HOGAN &amp; ASSOC     CO 006</t>
  </si>
  <si>
    <t>RE 23C3*67     BILL $41,703.04</t>
  </si>
  <si>
    <t>RE 23C3*105     BILL $240,368.70</t>
  </si>
  <si>
    <t>CR 23M5*051     RE 23C3*067</t>
  </si>
  <si>
    <t>ETC GROUP GAX FC2022121212232</t>
  </si>
  <si>
    <t>USU GAX FC2022121312312</t>
  </si>
  <si>
    <t>BILL USU ALL BUT 1,115,000</t>
  </si>
  <si>
    <t>MHTN ARCHI     AMD 005</t>
  </si>
  <si>
    <t>RE 23C3*141     BILL $12,403.27</t>
  </si>
  <si>
    <t>USU GAX FC2023012113843</t>
  </si>
  <si>
    <t>HOGAN &amp; ASSOC      CO 007</t>
  </si>
  <si>
    <t>USU GAX FC2023021314945</t>
  </si>
  <si>
    <t>CR 23M5*072     RE 23C3*141</t>
  </si>
  <si>
    <t>CR 23M5*075     RE 23C3*105</t>
  </si>
  <si>
    <t>MHTN ARCHITECTS INC - GAX FC2023032116508</t>
  </si>
  <si>
    <t>RE 23C3*208     BILL $108,113.16</t>
  </si>
  <si>
    <t>CR 23M5*112     RE 23C3*208</t>
  </si>
  <si>
    <t>USU     CO 010</t>
  </si>
  <si>
    <t>RE 23C3*243     BILL $14,559.93</t>
  </si>
  <si>
    <t>CR 23M5*130     RE 23C3*243</t>
  </si>
  <si>
    <t>PBIET150230204407220043 AGENT FEE</t>
  </si>
  <si>
    <t>USU     CO 011</t>
  </si>
  <si>
    <t>HOGAN &amp; ASSOC      CO 008</t>
  </si>
  <si>
    <t>RE 23C3*313     BILL $7.42</t>
  </si>
  <si>
    <t>13/23</t>
  </si>
  <si>
    <t>USU GAX FC20230713222356</t>
  </si>
  <si>
    <t>USU GAX FC2023071322359</t>
  </si>
  <si>
    <t>PBIET150230925615110048 AGENT FEE</t>
  </si>
  <si>
    <t>HOGAN &amp; ASSOC GAX FC2023072823039</t>
  </si>
  <si>
    <t>ZIONS/HOGAN ASSOC RTNG GAX FC2023072823040</t>
  </si>
  <si>
    <t>FY'24</t>
  </si>
  <si>
    <t>USU GAX FC2023081523668</t>
  </si>
  <si>
    <t>CR 23M5*148     RE 23C3*313</t>
  </si>
  <si>
    <t>CR 24M5*015     RE 23C3*391</t>
  </si>
  <si>
    <t>RE 23C3*391     BILL $167,727.49</t>
  </si>
  <si>
    <t>ETC GROUP GAX F23*097</t>
  </si>
  <si>
    <t>UT NEW VISION GAX F23*127</t>
  </si>
  <si>
    <t>RE 24C3*24     BILL $9,318.90</t>
  </si>
  <si>
    <t>CR 24M5*044     RE 24C3*024</t>
  </si>
  <si>
    <t>USU GAX FC2023111727852</t>
  </si>
  <si>
    <t>HOGAN &amp; ASSOC     CO 009</t>
  </si>
  <si>
    <t>USU GAX FC2024010429868</t>
  </si>
  <si>
    <t>2270379</t>
  </si>
  <si>
    <t>HOGAN &amp; ASSOC     CO 010</t>
  </si>
  <si>
    <t>CR 24M5*077     RE 24C3*114</t>
  </si>
  <si>
    <t>RE 24C3*114     BILL $1,473.61</t>
  </si>
  <si>
    <t>RE 24C3*144     BILL $4,336.61</t>
  </si>
  <si>
    <t>USU GAX FC2024032133582</t>
  </si>
  <si>
    <t>CR 24M5*090     RE 24C3*144</t>
  </si>
  <si>
    <t>RE 24C3*231</t>
  </si>
  <si>
    <t>USU GAX FC2024041834967</t>
  </si>
  <si>
    <t xml:space="preserve">IET INCREASE USU EST REV </t>
  </si>
  <si>
    <t>S/B $77,348.40 @ 100%</t>
  </si>
  <si>
    <t>Proj Manager credit not inculded</t>
  </si>
  <si>
    <t>CR 24M5*114     RE 24C3*231</t>
  </si>
  <si>
    <t>NSF PROJECT MANAGER FEES</t>
  </si>
  <si>
    <t>RE 24C3*374</t>
  </si>
  <si>
    <t>FY'25</t>
  </si>
  <si>
    <t>HOGAN &amp; ASSOC GAX FC2024090942169</t>
  </si>
  <si>
    <t>ZIONS/HOGAN ASSOC RTNG GAX FC2024090942170</t>
  </si>
  <si>
    <t>RE 25C3*28</t>
  </si>
  <si>
    <t>CR 25M5*042     RE 25C3*028</t>
  </si>
  <si>
    <t>USU     CO 012</t>
  </si>
  <si>
    <t>MHTN ARCHI GAX FC2024121846875</t>
  </si>
  <si>
    <t xml:space="preserve">RE 25C3*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</si>
</sst>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mmm\-yy_)"/>
    <numFmt numFmtId="166" formatCode="_(* #,##0_);_(* \(#,##0\);_(* &quot;-&quot;??_);_(@_)"/>
    <numFmt numFmtId="167" formatCode="0.0%"/>
    <numFmt numFmtId="168" formatCode="0_);\(0\)"/>
    <numFmt numFmtId="169" formatCode="_([$$-409]* #,##0.00_);_([$$-409]* \(#,##0.00\);_([$$-409]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FF00"/>
      <name val="Arial"/>
      <family val="2"/>
    </font>
    <font>
      <sz val="9"/>
      <color rgb="FF000000"/>
      <name val="Arial"/>
      <family val="2"/>
    </font>
    <font>
      <b/>
      <sz val="9"/>
      <color rgb="FF00FF00"/>
      <name val="Arial"/>
      <family val="2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FB7FF"/>
        <bgColor indexed="64"/>
      </patternFill>
    </fill>
    <fill>
      <patternFill patternType="solid">
        <fgColor rgb="FFCC99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173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164" fontId="3" fillId="0" borderId="3" xfId="0" applyFont="1" applyBorder="1"/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5" fontId="5" fillId="0" borderId="1" xfId="0" applyNumberFormat="1" applyFont="1" applyBorder="1" applyAlignment="1" applyProtection="1">
      <alignment horizontal="center" vertical="center" wrapText="1"/>
      <protection locked="0"/>
    </xf>
    <xf numFmtId="165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6" fontId="5" fillId="0" borderId="0" xfId="2" applyNumberFormat="1" applyFont="1" applyProtection="1">
      <protection locked="0"/>
    </xf>
    <xf numFmtId="166" fontId="5" fillId="0" borderId="0" xfId="2" applyNumberFormat="1" applyFont="1" applyAlignment="1" applyProtection="1">
      <alignment horizontal="center"/>
      <protection locked="0"/>
    </xf>
    <xf numFmtId="166" fontId="5" fillId="0" borderId="11" xfId="2" applyNumberFormat="1" applyFont="1" applyBorder="1" applyProtection="1">
      <protection locked="0"/>
    </xf>
    <xf numFmtId="166" fontId="5" fillId="0" borderId="0" xfId="2" applyNumberFormat="1" applyFont="1" applyBorder="1" applyProtection="1"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37" fontId="5" fillId="0" borderId="0" xfId="0" applyNumberFormat="1" applyFont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3" fontId="5" fillId="0" borderId="0" xfId="2" quotePrefix="1" applyFont="1" applyBorder="1" applyAlignment="1" applyProtection="1">
      <alignment horizontal="left"/>
      <protection locked="0"/>
    </xf>
    <xf numFmtId="17" fontId="5" fillId="0" borderId="0" xfId="2" applyNumberFormat="1" applyFont="1" applyBorder="1" applyAlignment="1" applyProtection="1">
      <alignment horizontal="left"/>
      <protection locked="0"/>
    </xf>
    <xf numFmtId="43" fontId="4" fillId="0" borderId="0" xfId="2" applyFont="1" applyFill="1" applyBorder="1" applyProtection="1">
      <protection locked="0"/>
    </xf>
    <xf numFmtId="43" fontId="5" fillId="3" borderId="0" xfId="2" applyFont="1" applyFill="1" applyBorder="1" applyProtection="1">
      <protection locked="0"/>
    </xf>
    <xf numFmtId="49" fontId="15" fillId="0" borderId="0" xfId="2" applyNumberFormat="1" applyFont="1" applyFill="1" applyBorder="1" applyAlignment="1" applyProtection="1">
      <alignment horizontal="center"/>
      <protection locked="0"/>
    </xf>
    <xf numFmtId="43" fontId="5" fillId="2" borderId="0" xfId="2" applyFont="1" applyFill="1" applyBorder="1" applyAlignment="1" applyProtection="1">
      <alignment horizontal="left"/>
      <protection locked="0"/>
    </xf>
    <xf numFmtId="164" fontId="4" fillId="0" borderId="0" xfId="0" applyFont="1" applyAlignment="1">
      <alignment horizontal="left" vertical="center"/>
    </xf>
    <xf numFmtId="164" fontId="4" fillId="5" borderId="0" xfId="0" applyFont="1" applyFill="1" applyAlignment="1">
      <alignment horizontal="left" vertical="center"/>
    </xf>
    <xf numFmtId="164" fontId="4" fillId="4" borderId="0" xfId="0" applyFont="1" applyFill="1" applyAlignment="1">
      <alignment horizontal="left" vertical="center"/>
    </xf>
    <xf numFmtId="164" fontId="4" fillId="0" borderId="12" xfId="0" applyFont="1" applyBorder="1" applyAlignment="1">
      <alignment horizontal="left" vertical="center"/>
    </xf>
    <xf numFmtId="164" fontId="4" fillId="5" borderId="12" xfId="0" applyFont="1" applyFill="1" applyBorder="1" applyAlignment="1">
      <alignment horizontal="left" vertical="center"/>
    </xf>
    <xf numFmtId="164" fontId="4" fillId="4" borderId="12" xfId="0" applyFont="1" applyFill="1" applyBorder="1" applyAlignment="1">
      <alignment horizontal="left" vertical="center"/>
    </xf>
    <xf numFmtId="14" fontId="4" fillId="5" borderId="12" xfId="0" applyNumberFormat="1" applyFont="1" applyFill="1" applyBorder="1" applyAlignment="1">
      <alignment horizontal="left" vertical="center"/>
    </xf>
    <xf numFmtId="1" fontId="4" fillId="0" borderId="12" xfId="0" applyNumberFormat="1" applyFont="1" applyBorder="1" applyAlignment="1">
      <alignment horizontal="left" vertical="center"/>
    </xf>
    <xf numFmtId="14" fontId="4" fillId="4" borderId="12" xfId="0" applyNumberFormat="1" applyFont="1" applyFill="1" applyBorder="1" applyAlignment="1">
      <alignment horizontal="left" vertical="center"/>
    </xf>
    <xf numFmtId="43" fontId="4" fillId="0" borderId="12" xfId="2" applyFont="1" applyBorder="1" applyAlignment="1">
      <alignment horizontal="left" vertical="center"/>
    </xf>
    <xf numFmtId="43" fontId="4" fillId="0" borderId="0" xfId="2" applyFont="1" applyAlignment="1">
      <alignment horizontal="left" vertical="center"/>
    </xf>
    <xf numFmtId="164" fontId="4" fillId="0" borderId="0" xfId="0" applyFont="1" applyAlignment="1">
      <alignment horizontal="left"/>
    </xf>
    <xf numFmtId="164" fontId="4" fillId="0" borderId="12" xfId="0" applyFont="1" applyBorder="1" applyAlignment="1">
      <alignment horizontal="left"/>
    </xf>
    <xf numFmtId="43" fontId="4" fillId="0" borderId="12" xfId="2" applyFont="1" applyBorder="1" applyAlignment="1">
      <alignment horizontal="left"/>
    </xf>
    <xf numFmtId="166" fontId="4" fillId="0" borderId="0" xfId="2" applyNumberFormat="1" applyFont="1" applyProtection="1">
      <protection locked="0"/>
    </xf>
    <xf numFmtId="166" fontId="5" fillId="0" borderId="1" xfId="2" applyNumberFormat="1" applyFont="1" applyBorder="1" applyAlignment="1" applyProtection="1">
      <alignment horizontal="center"/>
      <protection locked="0"/>
    </xf>
    <xf numFmtId="166" fontId="4" fillId="0" borderId="1" xfId="2" applyNumberFormat="1" applyFont="1" applyBorder="1" applyProtection="1">
      <protection locked="0"/>
    </xf>
    <xf numFmtId="1" fontId="5" fillId="0" borderId="0" xfId="0" applyNumberFormat="1" applyFont="1" applyAlignment="1" applyProtection="1">
      <alignment horizontal="left"/>
      <protection locked="0"/>
    </xf>
    <xf numFmtId="167" fontId="4" fillId="0" borderId="0" xfId="8" applyNumberFormat="1" applyFont="1" applyProtection="1">
      <protection locked="0"/>
    </xf>
    <xf numFmtId="9" fontId="5" fillId="0" borderId="0" xfId="8" applyFont="1" applyProtection="1">
      <protection locked="0"/>
    </xf>
    <xf numFmtId="10" fontId="4" fillId="0" borderId="0" xfId="8" applyNumberFormat="1" applyFont="1" applyProtection="1">
      <protection locked="0"/>
    </xf>
    <xf numFmtId="17" fontId="4" fillId="0" borderId="0" xfId="2" applyNumberFormat="1" applyFont="1" applyFill="1" applyBorder="1" applyAlignment="1" applyProtection="1">
      <alignment horizontal="center"/>
      <protection locked="0"/>
    </xf>
    <xf numFmtId="49" fontId="4" fillId="0" borderId="0" xfId="2" applyNumberFormat="1" applyFont="1" applyFill="1" applyBorder="1" applyAlignment="1" applyProtection="1">
      <alignment horizontal="center"/>
      <protection locked="0"/>
    </xf>
    <xf numFmtId="1" fontId="4" fillId="0" borderId="0" xfId="2" applyNumberFormat="1" applyFont="1" applyFill="1" applyBorder="1" applyAlignment="1" applyProtection="1">
      <alignment horizontal="center"/>
      <protection locked="0"/>
    </xf>
    <xf numFmtId="168" fontId="5" fillId="0" borderId="0" xfId="0" quotePrefix="1" applyNumberFormat="1" applyFont="1" applyAlignment="1" applyProtection="1">
      <alignment horizontal="left"/>
      <protection locked="0"/>
    </xf>
    <xf numFmtId="43" fontId="4" fillId="6" borderId="0" xfId="2" applyFont="1" applyFill="1" applyBorder="1" applyProtection="1"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3" fontId="4" fillId="2" borderId="0" xfId="2" applyFont="1" applyFill="1" applyBorder="1" applyAlignment="1" applyProtection="1">
      <alignment horizontal="left"/>
      <protection locked="0"/>
    </xf>
    <xf numFmtId="43" fontId="4" fillId="2" borderId="0" xfId="2" applyFont="1" applyFill="1" applyBorder="1" applyProtection="1">
      <protection locked="0"/>
    </xf>
    <xf numFmtId="43" fontId="5" fillId="2" borderId="0" xfId="2" applyFont="1" applyFill="1" applyProtection="1">
      <protection locked="0"/>
    </xf>
    <xf numFmtId="164" fontId="1" fillId="0" borderId="0" xfId="0" applyFont="1" applyAlignment="1">
      <alignment horizontal="left"/>
    </xf>
    <xf numFmtId="5" fontId="8" fillId="0" borderId="0" xfId="0" applyNumberFormat="1" applyFont="1" applyAlignment="1">
      <alignment horizontal="center"/>
    </xf>
    <xf numFmtId="164" fontId="1" fillId="0" borderId="0" xfId="0" quotePrefix="1" applyFont="1" applyAlignment="1">
      <alignment horizontal="left"/>
    </xf>
    <xf numFmtId="169" fontId="3" fillId="0" borderId="0" xfId="5" applyNumberFormat="1" applyFont="1"/>
    <xf numFmtId="169" fontId="3" fillId="0" borderId="0" xfId="5" applyNumberFormat="1" applyFont="1" applyProtection="1"/>
    <xf numFmtId="169" fontId="3" fillId="0" borderId="2" xfId="5" applyNumberFormat="1" applyFont="1" applyBorder="1" applyProtection="1"/>
    <xf numFmtId="169" fontId="8" fillId="0" borderId="3" xfId="0" applyNumberFormat="1" applyFont="1" applyBorder="1"/>
    <xf numFmtId="4" fontId="3" fillId="0" borderId="0" xfId="0" applyNumberFormat="1" applyFont="1"/>
    <xf numFmtId="44" fontId="5" fillId="0" borderId="0" xfId="5" applyFont="1" applyProtection="1">
      <protection locked="0"/>
    </xf>
    <xf numFmtId="43" fontId="4" fillId="0" borderId="0" xfId="0" applyNumberFormat="1" applyFont="1" applyProtection="1">
      <protection locked="0"/>
    </xf>
    <xf numFmtId="164" fontId="5" fillId="0" borderId="0" xfId="0" applyFont="1" applyAlignment="1" applyProtection="1">
      <alignment horizontal="left"/>
      <protection locked="0"/>
    </xf>
    <xf numFmtId="39" fontId="4" fillId="0" borderId="0" xfId="0" applyNumberFormat="1" applyFont="1" applyProtection="1">
      <protection locked="0"/>
    </xf>
    <xf numFmtId="39" fontId="4" fillId="0" borderId="0" xfId="2" applyNumberFormat="1" applyFont="1" applyBorder="1" applyProtection="1">
      <protection locked="0"/>
    </xf>
    <xf numFmtId="43" fontId="4" fillId="7" borderId="0" xfId="2" applyFont="1" applyFill="1" applyBorder="1" applyProtection="1"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17" fontId="10" fillId="0" borderId="0" xfId="0" applyNumberFormat="1" applyFont="1" applyAlignment="1" applyProtection="1">
      <alignment horizontal="center"/>
      <protection locked="0"/>
    </xf>
    <xf numFmtId="43" fontId="4" fillId="0" borderId="0" xfId="2" quotePrefix="1" applyFont="1" applyBorder="1" applyProtection="1">
      <protection locked="0"/>
    </xf>
    <xf numFmtId="17" fontId="4" fillId="8" borderId="0" xfId="0" applyNumberFormat="1" applyFont="1" applyFill="1" applyAlignment="1" applyProtection="1">
      <alignment horizontal="center"/>
      <protection locked="0"/>
    </xf>
    <xf numFmtId="164" fontId="4" fillId="8" borderId="0" xfId="0" applyFont="1" applyFill="1" applyAlignment="1" applyProtection="1">
      <alignment horizontal="left"/>
      <protection locked="0"/>
    </xf>
    <xf numFmtId="49" fontId="11" fillId="8" borderId="0" xfId="0" applyNumberFormat="1" applyFont="1" applyFill="1" applyAlignment="1" applyProtection="1">
      <alignment horizontal="center"/>
      <protection locked="0"/>
    </xf>
    <xf numFmtId="39" fontId="4" fillId="8" borderId="0" xfId="0" applyNumberFormat="1" applyFont="1" applyFill="1" applyProtection="1">
      <protection locked="0"/>
    </xf>
    <xf numFmtId="43" fontId="4" fillId="8" borderId="0" xfId="2" applyFont="1" applyFill="1" applyBorder="1" applyProtection="1">
      <protection locked="0"/>
    </xf>
    <xf numFmtId="43" fontId="4" fillId="8" borderId="0" xfId="0" applyNumberFormat="1" applyFont="1" applyFill="1" applyProtection="1">
      <protection locked="0"/>
    </xf>
    <xf numFmtId="49" fontId="4" fillId="8" borderId="0" xfId="0" applyNumberFormat="1" applyFont="1" applyFill="1" applyAlignment="1" applyProtection="1">
      <alignment horizontal="center"/>
      <protection locked="0"/>
    </xf>
    <xf numFmtId="1" fontId="4" fillId="8" borderId="0" xfId="0" applyNumberFormat="1" applyFont="1" applyFill="1" applyAlignment="1" applyProtection="1">
      <alignment horizontal="center"/>
      <protection locked="0"/>
    </xf>
    <xf numFmtId="164" fontId="4" fillId="8" borderId="0" xfId="0" applyFont="1" applyFill="1" applyProtection="1">
      <protection locked="0"/>
    </xf>
    <xf numFmtId="164" fontId="5" fillId="2" borderId="0" xfId="0" applyFont="1" applyFill="1" applyAlignment="1" applyProtection="1">
      <alignment horizontal="left"/>
      <protection locked="0"/>
    </xf>
    <xf numFmtId="43" fontId="16" fillId="0" borderId="0" xfId="0" applyNumberFormat="1" applyFont="1"/>
    <xf numFmtId="43" fontId="4" fillId="9" borderId="0" xfId="2" applyFont="1" applyFill="1" applyBorder="1" applyProtection="1">
      <protection locked="0"/>
    </xf>
    <xf numFmtId="9" fontId="4" fillId="0" borderId="0" xfId="2" applyNumberFormat="1" applyFont="1" applyBorder="1" applyProtection="1">
      <protection locked="0"/>
    </xf>
    <xf numFmtId="17" fontId="4" fillId="2" borderId="0" xfId="2" applyNumberFormat="1" applyFont="1" applyFill="1" applyAlignment="1" applyProtection="1">
      <alignment horizontal="center"/>
      <protection locked="0"/>
    </xf>
    <xf numFmtId="49" fontId="15" fillId="2" borderId="0" xfId="2" applyNumberFormat="1" applyFont="1" applyFill="1" applyBorder="1" applyAlignment="1" applyProtection="1">
      <alignment horizontal="center"/>
      <protection locked="0"/>
    </xf>
    <xf numFmtId="49" fontId="4" fillId="2" borderId="0" xfId="2" applyNumberFormat="1" applyFont="1" applyFill="1" applyBorder="1" applyAlignment="1" applyProtection="1">
      <alignment horizontal="center"/>
      <protection locked="0"/>
    </xf>
    <xf numFmtId="1" fontId="4" fillId="2" borderId="0" xfId="2" applyNumberFormat="1" applyFont="1" applyFill="1" applyBorder="1" applyAlignment="1" applyProtection="1">
      <alignment horizontal="center"/>
      <protection locked="0"/>
    </xf>
    <xf numFmtId="43" fontId="4" fillId="2" borderId="0" xfId="2" applyFont="1" applyFill="1" applyProtection="1">
      <protection locked="0"/>
    </xf>
    <xf numFmtId="0" fontId="18" fillId="0" borderId="0" xfId="2" applyNumberFormat="1" applyFont="1" applyFill="1" applyBorder="1" applyAlignment="1"/>
    <xf numFmtId="17" fontId="4" fillId="0" borderId="0" xfId="2" applyNumberFormat="1" applyFont="1" applyFill="1" applyAlignment="1" applyProtection="1">
      <alignment horizontal="center"/>
      <protection locked="0"/>
    </xf>
    <xf numFmtId="43" fontId="4" fillId="0" borderId="0" xfId="2" applyFont="1" applyFill="1" applyBorder="1" applyAlignment="1" applyProtection="1">
      <alignment horizontal="left"/>
      <protection locked="0"/>
    </xf>
    <xf numFmtId="43" fontId="4" fillId="0" borderId="0" xfId="2" applyFont="1" applyFill="1" applyProtection="1">
      <protection locked="0"/>
    </xf>
    <xf numFmtId="164" fontId="8" fillId="0" borderId="0" xfId="0" applyFont="1" applyAlignment="1">
      <alignment horizontal="center"/>
    </xf>
  </cellXfs>
  <cellStyles count="9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  <cellStyle name="Percent" xfId="8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99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414"/>
  <sheetViews>
    <sheetView tabSelected="1" zoomScaleNormal="75" workbookViewId="0">
      <pane ySplit="12" topLeftCell="A361" activePane="bottomLeft" state="frozen"/>
      <selection pane="bottomLeft" activeCell="A372" sqref="A372"/>
    </sheetView>
  </sheetViews>
  <sheetFormatPr defaultColWidth="8.88671875" defaultRowHeight="12" x14ac:dyDescent="0.2"/>
  <cols>
    <col min="1" max="1" width="5.77734375" style="42" customWidth="1"/>
    <col min="2" max="2" width="28.21875" style="43" customWidth="1"/>
    <col min="3" max="3" width="3.77734375" style="44" customWidth="1"/>
    <col min="4" max="9" width="10.44140625" style="45" customWidth="1"/>
    <col min="10" max="10" width="12.5546875" style="79" customWidth="1"/>
    <col min="11" max="11" width="5.88671875" style="80" customWidth="1"/>
    <col min="12" max="12" width="11.6640625" style="45" customWidth="1"/>
    <col min="13" max="13" width="12.77734375" style="45" customWidth="1"/>
    <col min="14" max="14" width="10.88671875" style="45" bestFit="1" customWidth="1"/>
    <col min="15" max="15" width="8.88671875" style="45"/>
    <col min="16" max="16" width="9.6640625" style="45" bestFit="1" customWidth="1"/>
    <col min="17" max="16384" width="8.88671875" style="45"/>
  </cols>
  <sheetData>
    <row r="1" spans="1:254" x14ac:dyDescent="0.2">
      <c r="H1" s="81" t="s">
        <v>21</v>
      </c>
      <c r="J1" s="46"/>
      <c r="K1" s="47"/>
      <c r="L1" s="81" t="s">
        <v>17</v>
      </c>
    </row>
    <row r="2" spans="1:254" s="5" customFormat="1" ht="14.1" customHeight="1" x14ac:dyDescent="0.2">
      <c r="A2" s="3"/>
      <c r="B2" s="2" t="s">
        <v>0</v>
      </c>
      <c r="C2" s="40"/>
      <c r="D2" s="102" t="s">
        <v>389</v>
      </c>
      <c r="H2" s="5" t="s">
        <v>53</v>
      </c>
      <c r="I2" s="141">
        <f>11556014+377403+871777+175176-1324068-45000-10000-107937.96-11290169+120000+242719.54-362719.54-136746.1+185716.52-185716.52-66286.25-20415.55+20252.86+232478.88-232479.36+0.48+122051.08-122051.08</f>
        <v>-8.2945916801691055E-10</v>
      </c>
      <c r="J2" s="83"/>
      <c r="K2" s="6"/>
      <c r="L2" s="45" t="s">
        <v>219</v>
      </c>
      <c r="M2" s="68">
        <f>+D16+D30+D48+D64+D95+D147+D209+D233+D359</f>
        <v>14190603.92</v>
      </c>
      <c r="N2" s="123">
        <f>+M2/M5</f>
        <v>0.92715086540668823</v>
      </c>
    </row>
    <row r="3" spans="1:254" s="5" customFormat="1" ht="14.1" customHeight="1" x14ac:dyDescent="0.2">
      <c r="A3" s="3"/>
      <c r="B3" s="4" t="s">
        <v>1</v>
      </c>
      <c r="C3" s="39"/>
      <c r="D3" s="92" t="s">
        <v>32</v>
      </c>
      <c r="H3" s="5" t="s">
        <v>50</v>
      </c>
      <c r="I3" s="82">
        <f>554788+135485-63500-36.74-230.28-6800-10185-530000+32350-32350-24788-660-484-330-8-8+144000-132934-8-220-8-8-110-8-440-16-8-28257.32-8-8-8-24</f>
        <v>35177.659999999982</v>
      </c>
      <c r="J3" s="83"/>
      <c r="K3" s="6"/>
      <c r="L3" s="45" t="s">
        <v>220</v>
      </c>
      <c r="M3" s="117">
        <v>1000000</v>
      </c>
      <c r="N3" s="121">
        <f>+M3/M5</f>
        <v>6.5335546720458978E-2</v>
      </c>
    </row>
    <row r="4" spans="1:254" s="5" customFormat="1" ht="14.1" customHeight="1" x14ac:dyDescent="0.2">
      <c r="A4" s="3"/>
      <c r="B4" s="86" t="s">
        <v>26</v>
      </c>
      <c r="C4" s="39"/>
      <c r="D4" s="127">
        <v>18367</v>
      </c>
      <c r="H4" s="5" t="s">
        <v>51</v>
      </c>
      <c r="I4" s="82">
        <f>(115460-112725.22)+(64319-63500)</f>
        <v>3553.7799999999988</v>
      </c>
      <c r="J4" s="83"/>
      <c r="K4" s="6"/>
      <c r="L4" s="45" t="s">
        <v>221</v>
      </c>
      <c r="M4" s="119">
        <v>115000</v>
      </c>
      <c r="N4" s="121">
        <f>+M4/M5</f>
        <v>7.5135878728527818E-3</v>
      </c>
    </row>
    <row r="5" spans="1:254" s="5" customFormat="1" ht="14.1" customHeight="1" x14ac:dyDescent="0.2">
      <c r="A5" s="3"/>
      <c r="B5" s="2" t="s">
        <v>2</v>
      </c>
      <c r="C5" s="40"/>
      <c r="D5" s="5" t="s">
        <v>30</v>
      </c>
      <c r="G5" s="73"/>
      <c r="H5" s="5" t="s">
        <v>52</v>
      </c>
      <c r="I5" s="82">
        <f>(17319-286.63)+(150400-23080-20400-21600-10800-44519)-5983.79</f>
        <v>41049.579999999994</v>
      </c>
      <c r="J5" s="83"/>
      <c r="K5" s="6"/>
      <c r="L5" s="5" t="s">
        <v>24</v>
      </c>
      <c r="M5" s="82">
        <f>SUM(M2:M4)</f>
        <v>15305603.92</v>
      </c>
      <c r="N5" s="122">
        <f>SUM(N2:N4)</f>
        <v>1</v>
      </c>
    </row>
    <row r="6" spans="1:254" s="5" customFormat="1" ht="14.1" customHeight="1" thickBot="1" x14ac:dyDescent="0.35">
      <c r="A6" s="3"/>
      <c r="B6" s="2" t="s">
        <v>3</v>
      </c>
      <c r="C6" s="40"/>
      <c r="D6" s="93">
        <v>20149770</v>
      </c>
      <c r="E6" s="5" t="s">
        <v>4</v>
      </c>
      <c r="G6" s="73"/>
      <c r="H6" s="5" t="s">
        <v>93</v>
      </c>
      <c r="I6" s="84">
        <f>519570+275000-(242719.54)-144000-57810.96-20252.86-48533.2-0.48-8-8-7100-8337.79-23621.78</f>
        <v>242177.38999999998</v>
      </c>
      <c r="J6" s="83" t="s">
        <v>363</v>
      </c>
      <c r="K6" s="6"/>
      <c r="L6" s="45"/>
      <c r="M6" s="117"/>
      <c r="N6" s="45"/>
    </row>
    <row r="7" spans="1:254" s="5" customFormat="1" ht="14.1" customHeight="1" x14ac:dyDescent="0.2">
      <c r="A7" s="3"/>
      <c r="B7" s="2" t="s">
        <v>5</v>
      </c>
      <c r="C7" s="40"/>
      <c r="D7" s="94" t="s">
        <v>31</v>
      </c>
      <c r="G7" s="72">
        <f>+G11-F11</f>
        <v>125445.17000000179</v>
      </c>
      <c r="H7" s="5" t="s">
        <v>24</v>
      </c>
      <c r="I7" s="85">
        <f>SUM(I2:I6)</f>
        <v>321958.4099999991</v>
      </c>
      <c r="J7" s="89">
        <f>+H11-I7</f>
        <v>-57933.519999998505</v>
      </c>
      <c r="K7" s="120"/>
      <c r="L7" s="32"/>
      <c r="M7" s="118"/>
      <c r="N7" s="33"/>
    </row>
    <row r="8" spans="1:254" s="5" customFormat="1" ht="14.1" customHeight="1" x14ac:dyDescent="0.2">
      <c r="A8" s="3"/>
      <c r="B8" s="48"/>
      <c r="C8" s="49"/>
      <c r="D8" s="50"/>
      <c r="E8" s="50" t="s">
        <v>6</v>
      </c>
      <c r="F8" s="50"/>
      <c r="G8" s="50"/>
      <c r="H8" s="50"/>
      <c r="I8" s="50" t="s">
        <v>7</v>
      </c>
      <c r="J8" s="51" t="s">
        <v>22</v>
      </c>
      <c r="K8" s="52" t="s">
        <v>23</v>
      </c>
      <c r="L8" s="87"/>
      <c r="M8" s="72"/>
    </row>
    <row r="9" spans="1:254" s="60" customFormat="1" ht="14.1" customHeight="1" x14ac:dyDescent="0.2">
      <c r="A9" s="3"/>
      <c r="B9" s="53" t="s">
        <v>8</v>
      </c>
      <c r="C9" s="54"/>
      <c r="D9" s="55" t="s">
        <v>9</v>
      </c>
      <c r="E9" s="56" t="s">
        <v>10</v>
      </c>
      <c r="F9" s="56" t="s">
        <v>11</v>
      </c>
      <c r="G9" s="57" t="s">
        <v>12</v>
      </c>
      <c r="H9" s="57" t="s">
        <v>13</v>
      </c>
      <c r="I9" s="56" t="s">
        <v>9</v>
      </c>
      <c r="J9" s="58" t="s">
        <v>14</v>
      </c>
      <c r="K9" s="59" t="s">
        <v>14</v>
      </c>
      <c r="L9" s="88" t="s">
        <v>27</v>
      </c>
      <c r="M9" s="89" t="s">
        <v>28</v>
      </c>
    </row>
    <row r="10" spans="1:254" s="68" customFormat="1" ht="14.1" customHeight="1" x14ac:dyDescent="0.2">
      <c r="A10" s="61"/>
      <c r="B10" s="62"/>
      <c r="C10" s="63"/>
      <c r="D10" s="64"/>
      <c r="E10" s="64"/>
      <c r="F10" s="64"/>
      <c r="G10" s="64"/>
      <c r="H10" s="64"/>
      <c r="I10" s="64"/>
      <c r="J10" s="65"/>
      <c r="K10" s="66"/>
      <c r="L10" s="90">
        <f>F11*N2</f>
        <v>13942666.181266824</v>
      </c>
      <c r="M10" s="10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</row>
    <row r="11" spans="1:254" s="73" customFormat="1" ht="14.1" customHeight="1" x14ac:dyDescent="0.2">
      <c r="A11" s="37" t="s">
        <v>15</v>
      </c>
      <c r="B11" s="69" t="s">
        <v>16</v>
      </c>
      <c r="C11" s="129"/>
      <c r="D11" s="13">
        <f>SUM(D14:D505)</f>
        <v>15427655</v>
      </c>
      <c r="E11" s="13">
        <f>SUM(E14:E505)-F11</f>
        <v>389470.06000000238</v>
      </c>
      <c r="F11" s="13">
        <f>SUM(F14:F505)</f>
        <v>15038184.939999998</v>
      </c>
      <c r="G11" s="13">
        <f>SUM(G14:G3005)</f>
        <v>15163630.109999999</v>
      </c>
      <c r="H11" s="13">
        <f>+D11-G11</f>
        <v>264024.8900000006</v>
      </c>
      <c r="I11" s="13">
        <f>SUM(I14:I505)</f>
        <v>13952687.359999996</v>
      </c>
      <c r="J11" s="70"/>
      <c r="K11" s="71"/>
      <c r="L11" s="91">
        <f>SUM(L13:L505)</f>
        <v>13942666.179999994</v>
      </c>
      <c r="M11" s="91">
        <f>SUM(M13:M240)</f>
        <v>328663.75737323391</v>
      </c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  <c r="BM11" s="72"/>
      <c r="BN11" s="72"/>
      <c r="BO11" s="72"/>
      <c r="BP11" s="72"/>
      <c r="BQ11" s="72"/>
      <c r="BR11" s="72"/>
      <c r="BS11" s="72"/>
      <c r="BT11" s="72"/>
      <c r="BU11" s="72"/>
      <c r="BV11" s="72"/>
      <c r="BW11" s="72"/>
      <c r="BX11" s="72"/>
      <c r="BY11" s="72"/>
      <c r="BZ11" s="72"/>
      <c r="CA11" s="72"/>
      <c r="CB11" s="72"/>
      <c r="CC11" s="72"/>
      <c r="CD11" s="72"/>
      <c r="CE11" s="72"/>
      <c r="CF11" s="72"/>
      <c r="CG11" s="72"/>
      <c r="CH11" s="72"/>
      <c r="CI11" s="72"/>
      <c r="CJ11" s="72"/>
      <c r="CK11" s="72"/>
      <c r="CL11" s="72"/>
      <c r="CM11" s="72"/>
      <c r="CN11" s="72"/>
      <c r="CO11" s="72"/>
      <c r="CP11" s="72"/>
      <c r="CQ11" s="72"/>
      <c r="CR11" s="72"/>
      <c r="CS11" s="72"/>
      <c r="CT11" s="72"/>
    </row>
    <row r="12" spans="1:254" s="73" customFormat="1" ht="14.1" customHeight="1" x14ac:dyDescent="0.2">
      <c r="A12" s="37"/>
      <c r="B12" s="74"/>
      <c r="C12" s="75"/>
      <c r="D12" s="14"/>
      <c r="E12" s="36"/>
      <c r="F12" s="14"/>
      <c r="G12" s="14"/>
      <c r="H12" s="14"/>
      <c r="I12" s="14"/>
      <c r="J12" s="76"/>
      <c r="K12" s="77"/>
      <c r="L12" s="78">
        <f>L10-L11</f>
        <v>1.2668296694755554E-3</v>
      </c>
      <c r="M12" s="72">
        <f>M11-L11</f>
        <v>-13614002.42262676</v>
      </c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72"/>
      <c r="BN12" s="72"/>
      <c r="BO12" s="72"/>
      <c r="BP12" s="72"/>
      <c r="BQ12" s="72"/>
      <c r="BR12" s="72"/>
      <c r="BS12" s="72"/>
      <c r="BT12" s="72"/>
      <c r="BU12" s="72"/>
      <c r="BV12" s="72"/>
      <c r="BW12" s="72"/>
      <c r="BX12" s="72"/>
      <c r="BY12" s="72"/>
      <c r="BZ12" s="72"/>
      <c r="CA12" s="72"/>
      <c r="CB12" s="72"/>
      <c r="CC12" s="72"/>
      <c r="CD12" s="72"/>
      <c r="CE12" s="72"/>
      <c r="CF12" s="72"/>
      <c r="CG12" s="72"/>
      <c r="CH12" s="72"/>
      <c r="CI12" s="72"/>
      <c r="CJ12" s="72"/>
      <c r="CK12" s="72"/>
      <c r="CL12" s="72"/>
      <c r="CM12" s="72"/>
      <c r="CN12" s="72"/>
      <c r="CO12" s="72"/>
      <c r="CP12" s="72"/>
      <c r="CQ12" s="72"/>
      <c r="CR12" s="72"/>
      <c r="CS12" s="72"/>
      <c r="CT12" s="72"/>
    </row>
    <row r="13" spans="1:254" s="12" customFormat="1" ht="14.1" customHeight="1" x14ac:dyDescent="0.2">
      <c r="A13" s="34"/>
      <c r="B13" s="8"/>
      <c r="C13" s="41" t="s">
        <v>25</v>
      </c>
      <c r="D13" s="10"/>
      <c r="E13" s="10">
        <f>+D13</f>
        <v>0</v>
      </c>
      <c r="F13" s="99"/>
      <c r="G13" s="10">
        <f t="shared" ref="G13:G19" si="0">IF(J13&gt;0,0,F13)</f>
        <v>0</v>
      </c>
      <c r="H13" s="10">
        <f t="shared" ref="H13:H19" si="1">+D13</f>
        <v>0</v>
      </c>
      <c r="I13" s="10"/>
      <c r="J13" s="38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35" t="s">
        <v>29</v>
      </c>
      <c r="B14" s="8"/>
      <c r="C14" s="41" t="s">
        <v>25</v>
      </c>
      <c r="D14" s="10"/>
      <c r="E14" s="10">
        <f>+D14</f>
        <v>0</v>
      </c>
      <c r="F14" s="99"/>
      <c r="G14" s="99">
        <f t="shared" si="0"/>
        <v>0</v>
      </c>
      <c r="H14" s="10">
        <f t="shared" si="1"/>
        <v>0</v>
      </c>
      <c r="I14" s="10"/>
      <c r="J14" s="38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 t="s">
        <v>33</v>
      </c>
      <c r="B15" s="8" t="s">
        <v>34</v>
      </c>
      <c r="C15" s="96" t="s">
        <v>40</v>
      </c>
      <c r="D15" s="10"/>
      <c r="E15" s="10">
        <f t="shared" ref="E15:E17" si="2">+D15</f>
        <v>0</v>
      </c>
      <c r="F15" s="99">
        <f>6.85+16.19+6.85+6.85</f>
        <v>36.74</v>
      </c>
      <c r="G15" s="99">
        <f t="shared" ref="G15:G17" si="3">IF(J15&gt;0,0,F15)</f>
        <v>36.74</v>
      </c>
      <c r="H15" s="10">
        <f t="shared" ref="H15:H17" si="4">+D15</f>
        <v>0</v>
      </c>
      <c r="I15" s="10"/>
      <c r="J15" s="38"/>
      <c r="K15" s="11">
        <v>6879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 t="s">
        <v>35</v>
      </c>
      <c r="B16" s="8" t="s">
        <v>36</v>
      </c>
      <c r="C16" s="96" t="s">
        <v>39</v>
      </c>
      <c r="D16" s="10">
        <v>9000000</v>
      </c>
      <c r="E16" s="10">
        <f t="shared" si="2"/>
        <v>9000000</v>
      </c>
      <c r="F16" s="99"/>
      <c r="G16" s="99">
        <f t="shared" si="3"/>
        <v>0</v>
      </c>
      <c r="H16" s="10">
        <f t="shared" si="4"/>
        <v>9000000</v>
      </c>
      <c r="I16" s="10"/>
      <c r="J16" s="38"/>
      <c r="K16" s="11">
        <v>4761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 t="s">
        <v>33</v>
      </c>
      <c r="B17" s="95" t="s">
        <v>37</v>
      </c>
      <c r="C17" s="96" t="s">
        <v>41</v>
      </c>
      <c r="D17" s="10"/>
      <c r="E17" s="10">
        <f t="shared" si="2"/>
        <v>0</v>
      </c>
      <c r="F17" s="99"/>
      <c r="G17" s="99">
        <f t="shared" si="3"/>
        <v>0</v>
      </c>
      <c r="H17" s="10">
        <f t="shared" si="4"/>
        <v>0</v>
      </c>
      <c r="I17" s="10"/>
      <c r="J17" s="38"/>
      <c r="K17" s="11"/>
      <c r="L17" s="161">
        <v>36.74</v>
      </c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 t="s">
        <v>33</v>
      </c>
      <c r="B18" s="8" t="s">
        <v>38</v>
      </c>
      <c r="C18" s="96" t="s">
        <v>40</v>
      </c>
      <c r="D18" s="10"/>
      <c r="E18" s="10">
        <f t="shared" ref="E18:E23" si="5">+D18</f>
        <v>0</v>
      </c>
      <c r="F18" s="99">
        <f>131.19+8.42+90.67</f>
        <v>230.27999999999997</v>
      </c>
      <c r="G18" s="99">
        <f t="shared" si="0"/>
        <v>230.27999999999997</v>
      </c>
      <c r="H18" s="10">
        <f t="shared" si="1"/>
        <v>0</v>
      </c>
      <c r="I18" s="10"/>
      <c r="J18" s="38"/>
      <c r="K18" s="11">
        <v>6879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 t="s">
        <v>33</v>
      </c>
      <c r="B19" s="97" t="s">
        <v>42</v>
      </c>
      <c r="C19" s="96" t="s">
        <v>41</v>
      </c>
      <c r="D19" s="10"/>
      <c r="E19" s="10">
        <f t="shared" si="5"/>
        <v>0</v>
      </c>
      <c r="F19" s="99"/>
      <c r="G19" s="99">
        <f t="shared" si="0"/>
        <v>0</v>
      </c>
      <c r="H19" s="10">
        <f t="shared" si="1"/>
        <v>0</v>
      </c>
      <c r="I19" s="10"/>
      <c r="J19" s="38"/>
      <c r="K19" s="11"/>
      <c r="L19" s="161">
        <v>230.28</v>
      </c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/>
      <c r="B20" s="8"/>
      <c r="C20" s="41" t="s">
        <v>25</v>
      </c>
      <c r="D20" s="10"/>
      <c r="E20" s="10">
        <f t="shared" si="5"/>
        <v>0</v>
      </c>
      <c r="F20" s="99"/>
      <c r="G20" s="99">
        <f t="shared" ref="G20:G35" si="6">IF(J20&gt;0,0,F20)</f>
        <v>0</v>
      </c>
      <c r="H20" s="10">
        <f t="shared" ref="H20:H35" si="7">+D20</f>
        <v>0</v>
      </c>
      <c r="I20" s="10"/>
      <c r="J20" s="38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/>
      <c r="B21" s="8"/>
      <c r="C21" s="41" t="s">
        <v>25</v>
      </c>
      <c r="D21" s="10"/>
      <c r="E21" s="10">
        <f t="shared" si="5"/>
        <v>0</v>
      </c>
      <c r="F21" s="99"/>
      <c r="G21" s="99">
        <f t="shared" si="6"/>
        <v>0</v>
      </c>
      <c r="H21" s="10">
        <f t="shared" si="7"/>
        <v>0</v>
      </c>
      <c r="I21" s="10"/>
      <c r="J21" s="38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35" t="s">
        <v>43</v>
      </c>
      <c r="B22" s="8"/>
      <c r="C22" s="41" t="s">
        <v>25</v>
      </c>
      <c r="D22" s="10"/>
      <c r="E22" s="10">
        <f t="shared" si="5"/>
        <v>0</v>
      </c>
      <c r="F22" s="99"/>
      <c r="G22" s="99">
        <f t="shared" si="6"/>
        <v>0</v>
      </c>
      <c r="H22" s="10">
        <f t="shared" si="7"/>
        <v>0</v>
      </c>
      <c r="I22" s="10"/>
      <c r="J22" s="38"/>
      <c r="K22" s="11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>
        <v>43647</v>
      </c>
      <c r="B23" s="8" t="s">
        <v>44</v>
      </c>
      <c r="C23" s="96" t="s">
        <v>41</v>
      </c>
      <c r="D23" s="10"/>
      <c r="E23" s="10">
        <f t="shared" si="5"/>
        <v>0</v>
      </c>
      <c r="F23" s="99"/>
      <c r="G23" s="99">
        <v>63500</v>
      </c>
      <c r="H23" s="10">
        <f t="shared" si="7"/>
        <v>0</v>
      </c>
      <c r="I23" s="10"/>
      <c r="J23" s="38" t="s">
        <v>45</v>
      </c>
      <c r="K23" s="11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>
        <v>43678</v>
      </c>
      <c r="B24" s="8" t="s">
        <v>46</v>
      </c>
      <c r="C24" s="96" t="s">
        <v>41</v>
      </c>
      <c r="D24" s="9"/>
      <c r="E24" s="10">
        <f t="shared" ref="E24:E39" si="8">+D24</f>
        <v>0</v>
      </c>
      <c r="F24" s="99"/>
      <c r="G24" s="99">
        <v>23080</v>
      </c>
      <c r="H24" s="10">
        <f t="shared" si="7"/>
        <v>0</v>
      </c>
      <c r="I24" s="10"/>
      <c r="J24" s="38" t="s">
        <v>47</v>
      </c>
      <c r="K24" s="11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>
        <v>43647</v>
      </c>
      <c r="B25" s="8" t="s">
        <v>48</v>
      </c>
      <c r="C25" s="96" t="s">
        <v>41</v>
      </c>
      <c r="D25" s="10"/>
      <c r="E25" s="10">
        <f t="shared" si="8"/>
        <v>0</v>
      </c>
      <c r="F25" s="99"/>
      <c r="G25" s="99">
        <v>45000</v>
      </c>
      <c r="H25" s="10">
        <f t="shared" si="7"/>
        <v>0</v>
      </c>
      <c r="I25" s="10"/>
      <c r="J25" s="38" t="s">
        <v>49</v>
      </c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>
        <v>43647</v>
      </c>
      <c r="B26" s="8" t="s">
        <v>54</v>
      </c>
      <c r="C26" s="96" t="s">
        <v>41</v>
      </c>
      <c r="D26" s="10"/>
      <c r="E26" s="10">
        <f t="shared" si="8"/>
        <v>0</v>
      </c>
      <c r="F26" s="99"/>
      <c r="G26" s="99">
        <v>1324068</v>
      </c>
      <c r="H26" s="10">
        <f t="shared" si="7"/>
        <v>0</v>
      </c>
      <c r="I26" s="10"/>
      <c r="J26" s="38" t="s">
        <v>55</v>
      </c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v>43679</v>
      </c>
      <c r="B27" s="95" t="s">
        <v>56</v>
      </c>
      <c r="C27" s="96" t="s">
        <v>41</v>
      </c>
      <c r="D27" s="10"/>
      <c r="E27" s="10">
        <f t="shared" si="8"/>
        <v>0</v>
      </c>
      <c r="F27" s="99"/>
      <c r="G27" s="99">
        <f t="shared" si="6"/>
        <v>0</v>
      </c>
      <c r="H27" s="10">
        <f t="shared" si="7"/>
        <v>0</v>
      </c>
      <c r="I27" s="10">
        <v>36.74</v>
      </c>
      <c r="J27" s="38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>
        <v>43696</v>
      </c>
      <c r="B28" s="95" t="s">
        <v>57</v>
      </c>
      <c r="C28" s="96" t="s">
        <v>41</v>
      </c>
      <c r="D28" s="10"/>
      <c r="E28" s="10">
        <f t="shared" si="8"/>
        <v>0</v>
      </c>
      <c r="F28" s="99"/>
      <c r="G28" s="99">
        <f t="shared" si="6"/>
        <v>0</v>
      </c>
      <c r="H28" s="10">
        <f t="shared" si="7"/>
        <v>0</v>
      </c>
      <c r="I28" s="10">
        <v>230.28</v>
      </c>
      <c r="J28" s="38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>
        <v>43714</v>
      </c>
      <c r="B29" s="8" t="s">
        <v>58</v>
      </c>
      <c r="C29" s="96" t="s">
        <v>66</v>
      </c>
      <c r="D29" s="10"/>
      <c r="E29" s="10">
        <f t="shared" si="8"/>
        <v>0</v>
      </c>
      <c r="F29" s="99">
        <v>25400</v>
      </c>
      <c r="G29" s="99">
        <f t="shared" si="6"/>
        <v>0</v>
      </c>
      <c r="H29" s="10">
        <f t="shared" si="7"/>
        <v>0</v>
      </c>
      <c r="I29" s="10"/>
      <c r="J29" s="38" t="s">
        <v>45</v>
      </c>
      <c r="K29" s="11">
        <v>6864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>
        <v>43709</v>
      </c>
      <c r="B30" s="8" t="s">
        <v>59</v>
      </c>
      <c r="C30" s="96" t="s">
        <v>66</v>
      </c>
      <c r="D30" s="10">
        <v>300000</v>
      </c>
      <c r="E30" s="10">
        <f t="shared" si="8"/>
        <v>300000</v>
      </c>
      <c r="F30" s="99"/>
      <c r="G30" s="99">
        <f t="shared" si="6"/>
        <v>0</v>
      </c>
      <c r="H30" s="10">
        <f t="shared" si="7"/>
        <v>300000</v>
      </c>
      <c r="I30" s="10"/>
      <c r="J30" s="38"/>
      <c r="K30" s="11">
        <v>4761</v>
      </c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>
        <v>43732</v>
      </c>
      <c r="B31" s="95" t="s">
        <v>60</v>
      </c>
      <c r="C31" s="96" t="s">
        <v>41</v>
      </c>
      <c r="D31" s="10"/>
      <c r="E31" s="10">
        <f t="shared" si="8"/>
        <v>0</v>
      </c>
      <c r="F31" s="99"/>
      <c r="G31" s="99">
        <f t="shared" si="6"/>
        <v>0</v>
      </c>
      <c r="H31" s="10">
        <f t="shared" si="7"/>
        <v>0</v>
      </c>
      <c r="I31" s="10"/>
      <c r="J31" s="38"/>
      <c r="K31" s="11"/>
      <c r="L31" s="161">
        <v>25400</v>
      </c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>
        <v>43733</v>
      </c>
      <c r="B32" s="8" t="s">
        <v>123</v>
      </c>
      <c r="C32" s="96" t="s">
        <v>66</v>
      </c>
      <c r="D32" s="10"/>
      <c r="E32" s="10">
        <f t="shared" si="8"/>
        <v>0</v>
      </c>
      <c r="F32" s="99">
        <v>22225</v>
      </c>
      <c r="G32" s="99">
        <f t="shared" si="6"/>
        <v>0</v>
      </c>
      <c r="H32" s="10">
        <f t="shared" si="7"/>
        <v>0</v>
      </c>
      <c r="I32" s="10"/>
      <c r="J32" s="38" t="s">
        <v>45</v>
      </c>
      <c r="K32" s="11">
        <v>6864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>
        <f>+A32</f>
        <v>43733</v>
      </c>
      <c r="B33" s="8" t="s">
        <v>61</v>
      </c>
      <c r="C33" s="96" t="s">
        <v>41</v>
      </c>
      <c r="D33" s="10"/>
      <c r="E33" s="10">
        <f t="shared" si="8"/>
        <v>0</v>
      </c>
      <c r="F33" s="99"/>
      <c r="G33" s="99">
        <v>20400</v>
      </c>
      <c r="H33" s="10">
        <f t="shared" si="7"/>
        <v>0</v>
      </c>
      <c r="I33" s="10"/>
      <c r="J33" s="38" t="s">
        <v>62</v>
      </c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>
        <v>43754</v>
      </c>
      <c r="B34" s="8" t="s">
        <v>63</v>
      </c>
      <c r="C34" s="96" t="s">
        <v>66</v>
      </c>
      <c r="D34" s="10"/>
      <c r="E34" s="10">
        <f t="shared" si="8"/>
        <v>0</v>
      </c>
      <c r="F34" s="99">
        <v>4500.6000000000004</v>
      </c>
      <c r="G34" s="99">
        <f t="shared" si="6"/>
        <v>0</v>
      </c>
      <c r="H34" s="10">
        <f t="shared" si="7"/>
        <v>0</v>
      </c>
      <c r="I34" s="10"/>
      <c r="J34" s="38" t="s">
        <v>47</v>
      </c>
      <c r="K34" s="11">
        <v>6849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>
        <v>43755</v>
      </c>
      <c r="B35" s="8" t="s">
        <v>122</v>
      </c>
      <c r="C35" s="96" t="s">
        <v>66</v>
      </c>
      <c r="D35" s="10"/>
      <c r="E35" s="10">
        <f t="shared" si="8"/>
        <v>0</v>
      </c>
      <c r="F35" s="99">
        <v>6800</v>
      </c>
      <c r="G35" s="99">
        <f t="shared" si="6"/>
        <v>6800</v>
      </c>
      <c r="H35" s="10">
        <f t="shared" si="7"/>
        <v>0</v>
      </c>
      <c r="I35" s="10"/>
      <c r="J35" s="38"/>
      <c r="K35" s="11">
        <v>6861</v>
      </c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>
        <v>43755</v>
      </c>
      <c r="B36" s="8" t="s">
        <v>64</v>
      </c>
      <c r="C36" s="96" t="s">
        <v>66</v>
      </c>
      <c r="D36" s="10"/>
      <c r="E36" s="10">
        <f t="shared" si="8"/>
        <v>0</v>
      </c>
      <c r="F36" s="99">
        <v>10000</v>
      </c>
      <c r="G36" s="99">
        <f t="shared" ref="G36:G51" si="9">IF(J36&gt;0,0,F36)</f>
        <v>10000</v>
      </c>
      <c r="H36" s="10">
        <f t="shared" ref="H36:H51" si="10">+D36</f>
        <v>0</v>
      </c>
      <c r="I36" s="10"/>
      <c r="J36" s="38"/>
      <c r="K36" s="11">
        <v>6811</v>
      </c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>
        <v>43727</v>
      </c>
      <c r="B37" s="8" t="s">
        <v>65</v>
      </c>
      <c r="C37" s="96" t="s">
        <v>66</v>
      </c>
      <c r="D37" s="10"/>
      <c r="E37" s="10">
        <f t="shared" si="8"/>
        <v>0</v>
      </c>
      <c r="F37" s="99">
        <v>4616</v>
      </c>
      <c r="G37" s="99">
        <f t="shared" si="9"/>
        <v>0</v>
      </c>
      <c r="H37" s="10">
        <f t="shared" si="10"/>
        <v>0</v>
      </c>
      <c r="I37" s="10"/>
      <c r="J37" s="38" t="s">
        <v>47</v>
      </c>
      <c r="K37" s="11">
        <v>6861</v>
      </c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>
        <v>43768</v>
      </c>
      <c r="B38" s="95" t="s">
        <v>67</v>
      </c>
      <c r="C38" s="96" t="s">
        <v>41</v>
      </c>
      <c r="D38" s="10"/>
      <c r="E38" s="10">
        <f t="shared" si="8"/>
        <v>0</v>
      </c>
      <c r="F38" s="99"/>
      <c r="G38" s="99">
        <f t="shared" si="9"/>
        <v>0</v>
      </c>
      <c r="H38" s="10">
        <f t="shared" si="10"/>
        <v>0</v>
      </c>
      <c r="I38" s="10"/>
      <c r="J38" s="38"/>
      <c r="K38" s="11"/>
      <c r="L38" s="161">
        <v>48141.599999999999</v>
      </c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>
        <v>43773</v>
      </c>
      <c r="B39" s="8" t="s">
        <v>124</v>
      </c>
      <c r="C39" s="96" t="s">
        <v>66</v>
      </c>
      <c r="D39" s="10"/>
      <c r="E39" s="10">
        <f t="shared" si="8"/>
        <v>0</v>
      </c>
      <c r="F39" s="99">
        <v>6350</v>
      </c>
      <c r="G39" s="99">
        <f t="shared" si="9"/>
        <v>0</v>
      </c>
      <c r="H39" s="10">
        <f t="shared" si="10"/>
        <v>0</v>
      </c>
      <c r="I39" s="10"/>
      <c r="J39" s="38" t="s">
        <v>45</v>
      </c>
      <c r="K39" s="11">
        <v>6864</v>
      </c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>
        <v>43773</v>
      </c>
      <c r="B40" s="8" t="s">
        <v>68</v>
      </c>
      <c r="C40" s="96" t="s">
        <v>66</v>
      </c>
      <c r="D40" s="10"/>
      <c r="E40" s="10">
        <f t="shared" ref="E40:E55" si="11">+D40</f>
        <v>0</v>
      </c>
      <c r="F40" s="99">
        <v>10185</v>
      </c>
      <c r="G40" s="99">
        <f t="shared" si="9"/>
        <v>10185</v>
      </c>
      <c r="H40" s="10">
        <f t="shared" si="10"/>
        <v>0</v>
      </c>
      <c r="I40" s="10"/>
      <c r="J40" s="38"/>
      <c r="K40" s="11">
        <v>6861</v>
      </c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>
        <v>43762</v>
      </c>
      <c r="B41" s="95" t="s">
        <v>69</v>
      </c>
      <c r="C41" s="96" t="s">
        <v>41</v>
      </c>
      <c r="D41" s="10"/>
      <c r="E41" s="10">
        <f t="shared" si="11"/>
        <v>0</v>
      </c>
      <c r="F41" s="99"/>
      <c r="G41" s="99">
        <f t="shared" si="9"/>
        <v>0</v>
      </c>
      <c r="H41" s="10">
        <f t="shared" si="10"/>
        <v>0</v>
      </c>
      <c r="I41" s="10">
        <v>25400</v>
      </c>
      <c r="J41" s="38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>
        <v>43774</v>
      </c>
      <c r="B42" s="8" t="s">
        <v>70</v>
      </c>
      <c r="C42" s="96" t="s">
        <v>66</v>
      </c>
      <c r="D42" s="10"/>
      <c r="E42" s="10">
        <f t="shared" si="11"/>
        <v>0</v>
      </c>
      <c r="F42" s="99">
        <v>63500</v>
      </c>
      <c r="G42" s="99">
        <f t="shared" si="9"/>
        <v>63500</v>
      </c>
      <c r="H42" s="10">
        <f t="shared" si="10"/>
        <v>0</v>
      </c>
      <c r="I42" s="10"/>
      <c r="J42" s="38"/>
      <c r="K42" s="11">
        <v>6865</v>
      </c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>
        <v>43805</v>
      </c>
      <c r="B43" s="8" t="s">
        <v>71</v>
      </c>
      <c r="C43" s="96" t="s">
        <v>66</v>
      </c>
      <c r="D43" s="10"/>
      <c r="E43" s="10">
        <f t="shared" si="11"/>
        <v>0</v>
      </c>
      <c r="F43" s="99">
        <v>2885</v>
      </c>
      <c r="G43" s="99">
        <f t="shared" si="9"/>
        <v>0</v>
      </c>
      <c r="H43" s="10">
        <f t="shared" si="10"/>
        <v>0</v>
      </c>
      <c r="I43" s="10"/>
      <c r="J43" s="38" t="s">
        <v>47</v>
      </c>
      <c r="K43" s="11">
        <v>6849</v>
      </c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>
        <v>43801</v>
      </c>
      <c r="B44" s="95" t="s">
        <v>72</v>
      </c>
      <c r="C44" s="96" t="s">
        <v>41</v>
      </c>
      <c r="D44" s="10"/>
      <c r="E44" s="10">
        <f t="shared" si="11"/>
        <v>0</v>
      </c>
      <c r="F44" s="99"/>
      <c r="G44" s="99">
        <f t="shared" si="9"/>
        <v>0</v>
      </c>
      <c r="H44" s="10">
        <f t="shared" si="10"/>
        <v>0</v>
      </c>
      <c r="I44" s="10">
        <v>48141.599999999999</v>
      </c>
      <c r="J44" s="38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>
        <v>43815</v>
      </c>
      <c r="B45" s="98" t="s">
        <v>73</v>
      </c>
      <c r="C45" s="96" t="s">
        <v>41</v>
      </c>
      <c r="D45" s="10"/>
      <c r="E45" s="10">
        <f t="shared" si="11"/>
        <v>0</v>
      </c>
      <c r="F45" s="99"/>
      <c r="G45" s="99">
        <f t="shared" si="9"/>
        <v>0</v>
      </c>
      <c r="H45" s="10">
        <f t="shared" si="10"/>
        <v>0</v>
      </c>
      <c r="I45" s="10"/>
      <c r="J45" s="38"/>
      <c r="K45" s="11"/>
      <c r="L45" s="161">
        <v>82920</v>
      </c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>
        <v>43809</v>
      </c>
      <c r="B46" s="8" t="s">
        <v>74</v>
      </c>
      <c r="C46" s="96" t="s">
        <v>66</v>
      </c>
      <c r="D46" s="10"/>
      <c r="E46" s="10">
        <f t="shared" si="11"/>
        <v>0</v>
      </c>
      <c r="F46" s="99">
        <v>2885</v>
      </c>
      <c r="G46" s="99">
        <f t="shared" si="9"/>
        <v>0</v>
      </c>
      <c r="H46" s="10">
        <f t="shared" si="10"/>
        <v>0</v>
      </c>
      <c r="I46" s="10"/>
      <c r="J46" s="38" t="s">
        <v>47</v>
      </c>
      <c r="K46" s="11">
        <v>6849</v>
      </c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>
        <f>+A46</f>
        <v>43809</v>
      </c>
      <c r="B47" s="8" t="s">
        <v>75</v>
      </c>
      <c r="C47" s="96" t="s">
        <v>66</v>
      </c>
      <c r="D47" s="10">
        <v>1000000</v>
      </c>
      <c r="E47" s="10">
        <f t="shared" si="11"/>
        <v>1000000</v>
      </c>
      <c r="F47" s="99"/>
      <c r="G47" s="99">
        <f t="shared" si="9"/>
        <v>0</v>
      </c>
      <c r="H47" s="10">
        <f t="shared" si="10"/>
        <v>1000000</v>
      </c>
      <c r="I47" s="10"/>
      <c r="J47" s="38"/>
      <c r="K47" s="11">
        <v>4667</v>
      </c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>
        <f>+A47</f>
        <v>43809</v>
      </c>
      <c r="B48" s="8" t="s">
        <v>76</v>
      </c>
      <c r="C48" s="96" t="s">
        <v>66</v>
      </c>
      <c r="D48" s="10">
        <v>-1000000</v>
      </c>
      <c r="E48" s="10">
        <f t="shared" si="11"/>
        <v>-1000000</v>
      </c>
      <c r="F48" s="99"/>
      <c r="G48" s="99">
        <f t="shared" si="9"/>
        <v>0</v>
      </c>
      <c r="H48" s="10">
        <f t="shared" si="10"/>
        <v>-1000000</v>
      </c>
      <c r="I48" s="10"/>
      <c r="J48" s="38"/>
      <c r="K48" s="11">
        <v>4761</v>
      </c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>
        <v>43832</v>
      </c>
      <c r="B49" s="8" t="s">
        <v>125</v>
      </c>
      <c r="C49" s="96" t="s">
        <v>66</v>
      </c>
      <c r="D49" s="10"/>
      <c r="E49" s="10">
        <f t="shared" si="11"/>
        <v>0</v>
      </c>
      <c r="F49" s="99">
        <v>1673.3</v>
      </c>
      <c r="G49" s="99">
        <f t="shared" si="9"/>
        <v>0</v>
      </c>
      <c r="H49" s="10">
        <f t="shared" si="10"/>
        <v>0</v>
      </c>
      <c r="I49" s="10"/>
      <c r="J49" s="38" t="s">
        <v>47</v>
      </c>
      <c r="K49" s="11">
        <v>6849</v>
      </c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>
        <v>43844</v>
      </c>
      <c r="B50" s="95" t="s">
        <v>77</v>
      </c>
      <c r="C50" s="96" t="s">
        <v>41</v>
      </c>
      <c r="D50" s="10"/>
      <c r="E50" s="10">
        <f t="shared" si="11"/>
        <v>0</v>
      </c>
      <c r="F50" s="99"/>
      <c r="G50" s="99">
        <f t="shared" si="9"/>
        <v>0</v>
      </c>
      <c r="H50" s="10">
        <f t="shared" si="10"/>
        <v>0</v>
      </c>
      <c r="I50" s="10"/>
      <c r="J50" s="38"/>
      <c r="K50" s="11"/>
      <c r="L50" s="161">
        <v>4558.3</v>
      </c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>
        <v>43871</v>
      </c>
      <c r="B51" s="102" t="s">
        <v>78</v>
      </c>
      <c r="C51" s="96" t="s">
        <v>40</v>
      </c>
      <c r="D51" s="10"/>
      <c r="E51" s="10">
        <f t="shared" si="11"/>
        <v>0</v>
      </c>
      <c r="F51" s="99">
        <v>286.63</v>
      </c>
      <c r="G51" s="99">
        <f t="shared" si="9"/>
        <v>286.63</v>
      </c>
      <c r="H51" s="10">
        <f t="shared" si="10"/>
        <v>0</v>
      </c>
      <c r="I51" s="10"/>
      <c r="J51" s="38"/>
      <c r="K51" s="11">
        <v>6872</v>
      </c>
      <c r="L51" s="10"/>
      <c r="M51" s="99"/>
      <c r="N51" s="99"/>
      <c r="O51" s="99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>
        <v>43857</v>
      </c>
      <c r="B52" s="95" t="s">
        <v>79</v>
      </c>
      <c r="C52" s="96" t="s">
        <v>41</v>
      </c>
      <c r="D52" s="10"/>
      <c r="E52" s="10">
        <f t="shared" si="11"/>
        <v>0</v>
      </c>
      <c r="F52" s="99"/>
      <c r="G52" s="99">
        <f t="shared" ref="G52:G67" si="12">IF(J52&gt;0,0,F52)</f>
        <v>0</v>
      </c>
      <c r="H52" s="10">
        <f t="shared" ref="H52:H67" si="13">+D52</f>
        <v>0</v>
      </c>
      <c r="I52" s="10">
        <v>82920</v>
      </c>
      <c r="J52" s="38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>
        <v>43872</v>
      </c>
      <c r="B53" s="8" t="s">
        <v>80</v>
      </c>
      <c r="C53" s="96" t="s">
        <v>81</v>
      </c>
      <c r="D53" s="10"/>
      <c r="E53" s="10">
        <f t="shared" si="11"/>
        <v>0</v>
      </c>
      <c r="F53" s="99"/>
      <c r="G53" s="99">
        <v>21600</v>
      </c>
      <c r="H53" s="10">
        <f t="shared" si="13"/>
        <v>0</v>
      </c>
      <c r="I53" s="10"/>
      <c r="J53" s="38" t="s">
        <v>47</v>
      </c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>
        <v>43871</v>
      </c>
      <c r="B54" s="8" t="s">
        <v>82</v>
      </c>
      <c r="C54" s="96" t="s">
        <v>66</v>
      </c>
      <c r="D54" s="10"/>
      <c r="E54" s="10">
        <f t="shared" si="11"/>
        <v>0</v>
      </c>
      <c r="F54" s="99">
        <v>1904.1</v>
      </c>
      <c r="G54" s="99">
        <f t="shared" si="12"/>
        <v>0</v>
      </c>
      <c r="H54" s="10">
        <f t="shared" si="13"/>
        <v>0</v>
      </c>
      <c r="I54" s="10"/>
      <c r="J54" s="38" t="s">
        <v>47</v>
      </c>
      <c r="K54" s="11">
        <v>6849</v>
      </c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>
        <v>43871</v>
      </c>
      <c r="B55" s="8" t="s">
        <v>83</v>
      </c>
      <c r="C55" s="96" t="s">
        <v>66</v>
      </c>
      <c r="D55" s="10"/>
      <c r="E55" s="10">
        <f t="shared" si="11"/>
        <v>0</v>
      </c>
      <c r="F55" s="99">
        <v>500</v>
      </c>
      <c r="G55" s="99">
        <f t="shared" si="12"/>
        <v>0</v>
      </c>
      <c r="H55" s="10">
        <f t="shared" si="13"/>
        <v>0</v>
      </c>
      <c r="I55" s="10"/>
      <c r="J55" s="38" t="s">
        <v>62</v>
      </c>
      <c r="K55" s="11">
        <v>6849</v>
      </c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>
        <v>43874</v>
      </c>
      <c r="B56" s="8" t="s">
        <v>84</v>
      </c>
      <c r="C56" s="101" t="s">
        <v>66</v>
      </c>
      <c r="D56" s="10"/>
      <c r="E56" s="10">
        <f t="shared" ref="E56:E71" si="14">+D56</f>
        <v>0</v>
      </c>
      <c r="F56" s="99">
        <v>9525</v>
      </c>
      <c r="G56" s="99">
        <f t="shared" si="12"/>
        <v>0</v>
      </c>
      <c r="H56" s="10">
        <f t="shared" si="13"/>
        <v>0</v>
      </c>
      <c r="I56" s="10"/>
      <c r="J56" s="38" t="s">
        <v>45</v>
      </c>
      <c r="K56" s="11">
        <v>6864</v>
      </c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>
        <v>43879</v>
      </c>
      <c r="B57" s="95" t="s">
        <v>85</v>
      </c>
      <c r="C57" s="96" t="s">
        <v>41</v>
      </c>
      <c r="D57" s="10"/>
      <c r="E57" s="10">
        <f t="shared" si="14"/>
        <v>0</v>
      </c>
      <c r="F57" s="99"/>
      <c r="G57" s="99">
        <f t="shared" si="12"/>
        <v>0</v>
      </c>
      <c r="H57" s="10">
        <f t="shared" si="13"/>
        <v>0</v>
      </c>
      <c r="I57" s="10"/>
      <c r="J57" s="38"/>
      <c r="K57" s="11"/>
      <c r="L57" s="161">
        <v>12215.63</v>
      </c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>
        <v>43893</v>
      </c>
      <c r="B58" s="8" t="s">
        <v>86</v>
      </c>
      <c r="C58" s="96" t="s">
        <v>66</v>
      </c>
      <c r="D58" s="10"/>
      <c r="E58" s="10">
        <f t="shared" si="14"/>
        <v>0</v>
      </c>
      <c r="F58" s="99">
        <v>500</v>
      </c>
      <c r="G58" s="99">
        <f t="shared" si="12"/>
        <v>0</v>
      </c>
      <c r="H58" s="10">
        <f t="shared" si="13"/>
        <v>0</v>
      </c>
      <c r="I58" s="10"/>
      <c r="J58" s="38" t="s">
        <v>62</v>
      </c>
      <c r="K58" s="11">
        <v>6849</v>
      </c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>
        <v>43893</v>
      </c>
      <c r="B59" s="8" t="s">
        <v>87</v>
      </c>
      <c r="C59" s="96" t="s">
        <v>66</v>
      </c>
      <c r="D59" s="10"/>
      <c r="E59" s="10">
        <f t="shared" si="14"/>
        <v>0</v>
      </c>
      <c r="F59" s="99">
        <v>4616</v>
      </c>
      <c r="G59" s="99">
        <f t="shared" si="12"/>
        <v>0</v>
      </c>
      <c r="H59" s="10">
        <f t="shared" si="13"/>
        <v>0</v>
      </c>
      <c r="I59" s="10"/>
      <c r="J59" s="38" t="s">
        <v>47</v>
      </c>
      <c r="K59" s="11">
        <v>6849</v>
      </c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>
        <v>43809</v>
      </c>
      <c r="B60" s="8" t="s">
        <v>88</v>
      </c>
      <c r="C60" s="96" t="s">
        <v>66</v>
      </c>
      <c r="D60" s="10"/>
      <c r="E60" s="10">
        <f t="shared" si="14"/>
        <v>0</v>
      </c>
      <c r="F60" s="99">
        <v>-2885</v>
      </c>
      <c r="G60" s="99">
        <f t="shared" si="12"/>
        <v>0</v>
      </c>
      <c r="H60" s="10">
        <f t="shared" si="13"/>
        <v>0</v>
      </c>
      <c r="I60" s="10"/>
      <c r="J60" s="38" t="s">
        <v>47</v>
      </c>
      <c r="K60" s="11">
        <v>6849</v>
      </c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>
        <v>43885</v>
      </c>
      <c r="B61" s="95" t="s">
        <v>89</v>
      </c>
      <c r="C61" s="96" t="s">
        <v>41</v>
      </c>
      <c r="D61" s="10"/>
      <c r="E61" s="10">
        <f t="shared" si="14"/>
        <v>0</v>
      </c>
      <c r="F61" s="99"/>
      <c r="G61" s="99">
        <f t="shared" si="12"/>
        <v>0</v>
      </c>
      <c r="H61" s="10">
        <f t="shared" si="13"/>
        <v>0</v>
      </c>
      <c r="I61" s="10">
        <v>4558.3</v>
      </c>
      <c r="J61" s="38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>
        <v>43900</v>
      </c>
      <c r="B62" s="95" t="s">
        <v>90</v>
      </c>
      <c r="C62" s="96" t="s">
        <v>41</v>
      </c>
      <c r="D62" s="10"/>
      <c r="E62" s="10">
        <f t="shared" si="14"/>
        <v>0</v>
      </c>
      <c r="F62" s="99"/>
      <c r="G62" s="99">
        <f t="shared" si="12"/>
        <v>0</v>
      </c>
      <c r="H62" s="10">
        <f t="shared" si="13"/>
        <v>0</v>
      </c>
      <c r="I62" s="10"/>
      <c r="J62" s="38"/>
      <c r="K62" s="11"/>
      <c r="L62" s="161">
        <v>2231</v>
      </c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>
        <v>43914</v>
      </c>
      <c r="B63" s="8" t="s">
        <v>91</v>
      </c>
      <c r="C63" s="96" t="s">
        <v>66</v>
      </c>
      <c r="D63" s="10"/>
      <c r="E63" s="10">
        <f t="shared" si="14"/>
        <v>0</v>
      </c>
      <c r="F63" s="128">
        <v>179752</v>
      </c>
      <c r="G63" s="99">
        <f t="shared" si="12"/>
        <v>0</v>
      </c>
      <c r="H63" s="10">
        <f t="shared" si="13"/>
        <v>0</v>
      </c>
      <c r="I63" s="10"/>
      <c r="J63" s="38" t="s">
        <v>92</v>
      </c>
      <c r="K63" s="11">
        <v>6861</v>
      </c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>
        <v>43922</v>
      </c>
      <c r="B64" s="8" t="s">
        <v>94</v>
      </c>
      <c r="C64" s="96" t="s">
        <v>40</v>
      </c>
      <c r="D64" s="10">
        <v>1300000</v>
      </c>
      <c r="E64" s="10">
        <f t="shared" si="14"/>
        <v>1300000</v>
      </c>
      <c r="F64" s="99"/>
      <c r="G64" s="99">
        <f t="shared" si="12"/>
        <v>0</v>
      </c>
      <c r="H64" s="10">
        <f t="shared" si="13"/>
        <v>1300000</v>
      </c>
      <c r="I64" s="10"/>
      <c r="J64" s="38"/>
      <c r="K64" s="11">
        <v>4761</v>
      </c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>
        <v>43909</v>
      </c>
      <c r="B65" s="95" t="s">
        <v>95</v>
      </c>
      <c r="C65" s="96" t="s">
        <v>41</v>
      </c>
      <c r="D65" s="10"/>
      <c r="E65" s="10">
        <f t="shared" si="14"/>
        <v>0</v>
      </c>
      <c r="F65" s="99"/>
      <c r="G65" s="99">
        <f t="shared" si="12"/>
        <v>0</v>
      </c>
      <c r="H65" s="10">
        <f t="shared" si="13"/>
        <v>0</v>
      </c>
      <c r="I65" s="10">
        <v>12215.63</v>
      </c>
      <c r="J65" s="38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>
        <v>43862</v>
      </c>
      <c r="B66" s="8" t="s">
        <v>96</v>
      </c>
      <c r="C66" s="96" t="s">
        <v>41</v>
      </c>
      <c r="D66" s="10"/>
      <c r="E66" s="10">
        <f t="shared" si="14"/>
        <v>0</v>
      </c>
      <c r="F66" s="99"/>
      <c r="G66" s="99">
        <v>530000</v>
      </c>
      <c r="H66" s="10">
        <f t="shared" si="13"/>
        <v>0</v>
      </c>
      <c r="I66" s="10"/>
      <c r="J66" s="38" t="s">
        <v>92</v>
      </c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>
        <v>43934</v>
      </c>
      <c r="B67" s="95" t="s">
        <v>97</v>
      </c>
      <c r="C67" s="96" t="s">
        <v>41</v>
      </c>
      <c r="D67" s="10"/>
      <c r="E67" s="10">
        <f t="shared" si="14"/>
        <v>0</v>
      </c>
      <c r="F67" s="99"/>
      <c r="G67" s="99">
        <f t="shared" si="12"/>
        <v>0</v>
      </c>
      <c r="H67" s="10">
        <f t="shared" si="13"/>
        <v>0</v>
      </c>
      <c r="I67" s="10"/>
      <c r="J67" s="38"/>
      <c r="K67" s="11"/>
      <c r="L67" s="161">
        <v>179752</v>
      </c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>
        <v>43935</v>
      </c>
      <c r="B68" s="8" t="s">
        <v>98</v>
      </c>
      <c r="C68" s="96" t="s">
        <v>66</v>
      </c>
      <c r="D68" s="10"/>
      <c r="E68" s="10">
        <f t="shared" si="14"/>
        <v>0</v>
      </c>
      <c r="F68" s="99">
        <v>2885</v>
      </c>
      <c r="G68" s="99">
        <f t="shared" ref="G68:G82" si="15">IF(J68&gt;0,0,F68)</f>
        <v>0</v>
      </c>
      <c r="H68" s="10">
        <f t="shared" ref="H68:H82" si="16">+D68</f>
        <v>0</v>
      </c>
      <c r="I68" s="10"/>
      <c r="J68" s="38" t="s">
        <v>47</v>
      </c>
      <c r="K68" s="11">
        <v>6849</v>
      </c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>
        <v>43943</v>
      </c>
      <c r="B69" s="8" t="s">
        <v>99</v>
      </c>
      <c r="C69" s="96" t="s">
        <v>66</v>
      </c>
      <c r="D69" s="10"/>
      <c r="E69" s="10">
        <f t="shared" si="14"/>
        <v>0</v>
      </c>
      <c r="F69" s="128">
        <v>21712</v>
      </c>
      <c r="G69" s="99">
        <f t="shared" si="15"/>
        <v>0</v>
      </c>
      <c r="H69" s="10">
        <f t="shared" si="16"/>
        <v>0</v>
      </c>
      <c r="I69" s="10"/>
      <c r="J69" s="38" t="s">
        <v>92</v>
      </c>
      <c r="K69" s="11">
        <v>6861</v>
      </c>
      <c r="L69" s="10"/>
      <c r="M69" s="10"/>
      <c r="N69" s="10"/>
      <c r="O69" s="10"/>
      <c r="P69" s="10">
        <f>73338.4*N321</f>
        <v>67995.761027541856</v>
      </c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>
        <v>43949</v>
      </c>
      <c r="B70" s="8" t="s">
        <v>100</v>
      </c>
      <c r="C70" s="96" t="s">
        <v>66</v>
      </c>
      <c r="D70" s="10"/>
      <c r="E70" s="10">
        <f t="shared" si="14"/>
        <v>0</v>
      </c>
      <c r="F70" s="99">
        <v>11040</v>
      </c>
      <c r="G70" s="99">
        <f t="shared" si="15"/>
        <v>0</v>
      </c>
      <c r="H70" s="10">
        <f t="shared" si="16"/>
        <v>0</v>
      </c>
      <c r="I70" s="10"/>
      <c r="J70" s="38" t="s">
        <v>47</v>
      </c>
      <c r="K70" s="11">
        <v>6849</v>
      </c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>
        <v>43941</v>
      </c>
      <c r="B71" s="95" t="s">
        <v>101</v>
      </c>
      <c r="C71" s="96" t="s">
        <v>41</v>
      </c>
      <c r="D71" s="10"/>
      <c r="E71" s="10">
        <f t="shared" si="14"/>
        <v>0</v>
      </c>
      <c r="F71" s="99"/>
      <c r="G71" s="99">
        <f t="shared" si="15"/>
        <v>0</v>
      </c>
      <c r="H71" s="10">
        <f t="shared" si="16"/>
        <v>0</v>
      </c>
      <c r="I71" s="10">
        <v>2231</v>
      </c>
      <c r="J71" s="38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>
        <v>43964</v>
      </c>
      <c r="B72" s="95" t="s">
        <v>103</v>
      </c>
      <c r="C72" s="96" t="s">
        <v>41</v>
      </c>
      <c r="D72" s="10"/>
      <c r="E72" s="10">
        <f t="shared" ref="E72:E86" si="17">+D72</f>
        <v>0</v>
      </c>
      <c r="F72" s="99"/>
      <c r="G72" s="99">
        <f t="shared" si="15"/>
        <v>0</v>
      </c>
      <c r="H72" s="10">
        <f t="shared" si="16"/>
        <v>0</v>
      </c>
      <c r="I72" s="10"/>
      <c r="J72" s="38"/>
      <c r="K72" s="11"/>
      <c r="L72" s="161">
        <v>35637</v>
      </c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>
        <v>43964</v>
      </c>
      <c r="B73" s="8" t="s">
        <v>102</v>
      </c>
      <c r="C73" s="96" t="s">
        <v>81</v>
      </c>
      <c r="D73" s="10"/>
      <c r="E73" s="10">
        <f t="shared" si="17"/>
        <v>0</v>
      </c>
      <c r="F73" s="99"/>
      <c r="G73" s="99">
        <v>10800</v>
      </c>
      <c r="H73" s="10">
        <f t="shared" si="16"/>
        <v>0</v>
      </c>
      <c r="I73" s="10"/>
      <c r="J73" s="38" t="s">
        <v>47</v>
      </c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>
        <v>43973</v>
      </c>
      <c r="B74" s="95" t="s">
        <v>104</v>
      </c>
      <c r="C74" s="96" t="s">
        <v>41</v>
      </c>
      <c r="D74" s="10"/>
      <c r="E74" s="10">
        <f t="shared" si="17"/>
        <v>0</v>
      </c>
      <c r="F74" s="99"/>
      <c r="G74" s="99">
        <f t="shared" si="15"/>
        <v>0</v>
      </c>
      <c r="H74" s="10">
        <f t="shared" si="16"/>
        <v>0</v>
      </c>
      <c r="I74" s="10">
        <v>179752</v>
      </c>
      <c r="J74" s="38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>
        <v>43987</v>
      </c>
      <c r="B75" s="8" t="s">
        <v>105</v>
      </c>
      <c r="C75" s="96" t="s">
        <v>40</v>
      </c>
      <c r="D75" s="10"/>
      <c r="E75" s="10">
        <f t="shared" si="17"/>
        <v>0</v>
      </c>
      <c r="F75" s="99">
        <v>7915</v>
      </c>
      <c r="G75" s="99">
        <f t="shared" si="15"/>
        <v>0</v>
      </c>
      <c r="H75" s="10">
        <f t="shared" si="16"/>
        <v>0</v>
      </c>
      <c r="I75" s="10"/>
      <c r="J75" s="38" t="s">
        <v>47</v>
      </c>
      <c r="K75" s="11">
        <v>6849</v>
      </c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>
        <v>43994</v>
      </c>
      <c r="B76" s="95" t="s">
        <v>106</v>
      </c>
      <c r="C76" s="96" t="s">
        <v>41</v>
      </c>
      <c r="D76" s="10"/>
      <c r="E76" s="10">
        <f t="shared" si="17"/>
        <v>0</v>
      </c>
      <c r="F76" s="99"/>
      <c r="G76" s="99">
        <f t="shared" si="15"/>
        <v>0</v>
      </c>
      <c r="H76" s="10">
        <f t="shared" si="16"/>
        <v>0</v>
      </c>
      <c r="I76" s="10"/>
      <c r="J76" s="38"/>
      <c r="K76" s="11"/>
      <c r="L76" s="161">
        <v>7915.1</v>
      </c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>
        <v>43998</v>
      </c>
      <c r="B77" s="95" t="s">
        <v>107</v>
      </c>
      <c r="C77" s="96" t="s">
        <v>41</v>
      </c>
      <c r="D77" s="10"/>
      <c r="E77" s="10">
        <f t="shared" si="17"/>
        <v>0</v>
      </c>
      <c r="F77" s="99"/>
      <c r="G77" s="99">
        <f t="shared" si="15"/>
        <v>0</v>
      </c>
      <c r="H77" s="10">
        <f t="shared" si="16"/>
        <v>0</v>
      </c>
      <c r="I77" s="10">
        <v>35637</v>
      </c>
      <c r="J77" s="38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>
        <v>44000</v>
      </c>
      <c r="B78" s="8" t="s">
        <v>108</v>
      </c>
      <c r="C78" s="96" t="s">
        <v>40</v>
      </c>
      <c r="D78" s="10"/>
      <c r="E78" s="10">
        <f t="shared" si="17"/>
        <v>0</v>
      </c>
      <c r="F78" s="128">
        <v>10376</v>
      </c>
      <c r="G78" s="99">
        <f t="shared" si="15"/>
        <v>0</v>
      </c>
      <c r="H78" s="10">
        <f t="shared" si="16"/>
        <v>0</v>
      </c>
      <c r="I78" s="10"/>
      <c r="J78" s="38" t="s">
        <v>92</v>
      </c>
      <c r="K78" s="11">
        <v>6861</v>
      </c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>
        <v>44012</v>
      </c>
      <c r="B79" s="8" t="s">
        <v>109</v>
      </c>
      <c r="C79" s="96" t="s">
        <v>40</v>
      </c>
      <c r="D79" s="10"/>
      <c r="E79" s="10">
        <f t="shared" si="17"/>
        <v>0</v>
      </c>
      <c r="F79" s="128">
        <v>30762.400000000001</v>
      </c>
      <c r="G79" s="99">
        <f t="shared" si="15"/>
        <v>0</v>
      </c>
      <c r="H79" s="10">
        <f t="shared" si="16"/>
        <v>0</v>
      </c>
      <c r="I79" s="10"/>
      <c r="J79" s="38" t="s">
        <v>92</v>
      </c>
      <c r="K79" s="11">
        <v>6861</v>
      </c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 t="s">
        <v>111</v>
      </c>
      <c r="B80" s="8" t="s">
        <v>112</v>
      </c>
      <c r="C80" s="96" t="s">
        <v>81</v>
      </c>
      <c r="D80" s="10"/>
      <c r="E80" s="10">
        <f t="shared" si="17"/>
        <v>0</v>
      </c>
      <c r="F80" s="99"/>
      <c r="G80" s="99">
        <v>-32350</v>
      </c>
      <c r="H80" s="10">
        <f t="shared" si="16"/>
        <v>0</v>
      </c>
      <c r="I80" s="10"/>
      <c r="J80" s="38" t="s">
        <v>55</v>
      </c>
      <c r="K80" s="11"/>
      <c r="L80" s="10"/>
      <c r="M80" s="160" t="s">
        <v>110</v>
      </c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 t="s">
        <v>111</v>
      </c>
      <c r="B81" s="8" t="s">
        <v>113</v>
      </c>
      <c r="C81" s="96" t="s">
        <v>117</v>
      </c>
      <c r="D81" s="10"/>
      <c r="E81" s="10">
        <f t="shared" si="17"/>
        <v>0</v>
      </c>
      <c r="F81" s="99">
        <v>36200</v>
      </c>
      <c r="G81" s="99">
        <f t="shared" si="15"/>
        <v>0</v>
      </c>
      <c r="H81" s="10">
        <f t="shared" si="16"/>
        <v>0</v>
      </c>
      <c r="I81" s="10"/>
      <c r="J81" s="38" t="s">
        <v>49</v>
      </c>
      <c r="K81" s="11">
        <v>6811</v>
      </c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 t="s">
        <v>111</v>
      </c>
      <c r="B82" s="95" t="s">
        <v>114</v>
      </c>
      <c r="C82" s="96" t="s">
        <v>41</v>
      </c>
      <c r="D82" s="10"/>
      <c r="E82" s="10">
        <f t="shared" si="17"/>
        <v>0</v>
      </c>
      <c r="F82" s="99"/>
      <c r="G82" s="99">
        <f t="shared" si="15"/>
        <v>0</v>
      </c>
      <c r="H82" s="10">
        <f t="shared" si="16"/>
        <v>0</v>
      </c>
      <c r="I82" s="10"/>
      <c r="J82" s="38"/>
      <c r="K82" s="11"/>
      <c r="L82" s="10">
        <v>77343.399999999994</v>
      </c>
      <c r="M82" s="10" t="s">
        <v>518</v>
      </c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>
        <v>44012</v>
      </c>
      <c r="B83" s="95" t="s">
        <v>115</v>
      </c>
      <c r="C83" s="96" t="s">
        <v>41</v>
      </c>
      <c r="D83" s="10"/>
      <c r="E83" s="10">
        <f t="shared" si="17"/>
        <v>0</v>
      </c>
      <c r="F83" s="99"/>
      <c r="G83" s="99">
        <f t="shared" ref="G83:G97" si="18">IF(J83&gt;0,0,F83)</f>
        <v>0</v>
      </c>
      <c r="H83" s="10">
        <f t="shared" ref="H83:H96" si="19">+D83</f>
        <v>0</v>
      </c>
      <c r="I83" s="10">
        <v>7915.1</v>
      </c>
      <c r="J83" s="38"/>
      <c r="K83" s="11"/>
      <c r="L83" s="10"/>
      <c r="N83" s="100"/>
      <c r="O83" s="10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41" t="s">
        <v>25</v>
      </c>
      <c r="D84" s="10"/>
      <c r="E84" s="10">
        <f t="shared" si="17"/>
        <v>0</v>
      </c>
      <c r="F84" s="99"/>
      <c r="G84" s="99">
        <f t="shared" si="18"/>
        <v>0</v>
      </c>
      <c r="H84" s="10">
        <f t="shared" si="19"/>
        <v>0</v>
      </c>
      <c r="I84" s="10"/>
      <c r="J84" s="38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41" t="s">
        <v>25</v>
      </c>
      <c r="D85" s="10"/>
      <c r="E85" s="10">
        <f t="shared" si="17"/>
        <v>0</v>
      </c>
      <c r="F85" s="99"/>
      <c r="G85" s="99">
        <f t="shared" si="18"/>
        <v>0</v>
      </c>
      <c r="H85" s="10">
        <f t="shared" si="19"/>
        <v>0</v>
      </c>
      <c r="I85" s="10"/>
      <c r="J85" s="38"/>
      <c r="K85" s="11"/>
      <c r="L85" s="10"/>
      <c r="M85" s="10"/>
      <c r="N85" s="10"/>
      <c r="O85" s="10"/>
      <c r="P85" s="10">
        <f>M2/M5</f>
        <v>0.92715086540668823</v>
      </c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35" t="s">
        <v>118</v>
      </c>
      <c r="B86" s="8"/>
      <c r="C86" s="41" t="s">
        <v>25</v>
      </c>
      <c r="D86" s="10"/>
      <c r="E86" s="10">
        <f t="shared" si="17"/>
        <v>0</v>
      </c>
      <c r="F86" s="99"/>
      <c r="G86" s="99">
        <f t="shared" si="18"/>
        <v>0</v>
      </c>
      <c r="H86" s="10">
        <f t="shared" si="19"/>
        <v>0</v>
      </c>
      <c r="I86" s="10"/>
      <c r="J86" s="38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>
        <v>44035</v>
      </c>
      <c r="B87" s="8" t="s">
        <v>119</v>
      </c>
      <c r="C87" s="96" t="s">
        <v>81</v>
      </c>
      <c r="D87" s="10"/>
      <c r="E87" s="10">
        <f t="shared" ref="E87:E101" si="20">+D87</f>
        <v>0</v>
      </c>
      <c r="F87" s="99"/>
      <c r="G87" s="99">
        <v>32350</v>
      </c>
      <c r="H87" s="10">
        <f t="shared" si="19"/>
        <v>0</v>
      </c>
      <c r="I87" s="10"/>
      <c r="J87" s="38" t="s">
        <v>92</v>
      </c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>
        <v>44040</v>
      </c>
      <c r="B88" s="8" t="s">
        <v>120</v>
      </c>
      <c r="C88" s="96" t="s">
        <v>81</v>
      </c>
      <c r="D88" s="10"/>
      <c r="E88" s="10">
        <f t="shared" si="20"/>
        <v>0</v>
      </c>
      <c r="F88" s="99"/>
      <c r="G88" s="99">
        <v>24788</v>
      </c>
      <c r="H88" s="10">
        <f t="shared" si="19"/>
        <v>0</v>
      </c>
      <c r="I88" s="10"/>
      <c r="J88" s="38" t="s">
        <v>92</v>
      </c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>
        <v>44063</v>
      </c>
      <c r="B89" s="12" t="s">
        <v>121</v>
      </c>
      <c r="C89" s="96" t="s">
        <v>66</v>
      </c>
      <c r="D89" s="10"/>
      <c r="E89" s="10">
        <f t="shared" si="20"/>
        <v>0</v>
      </c>
      <c r="F89" s="99">
        <v>70049.600000000006</v>
      </c>
      <c r="G89" s="99">
        <f t="shared" si="18"/>
        <v>0</v>
      </c>
      <c r="H89" s="10">
        <f t="shared" si="19"/>
        <v>0</v>
      </c>
      <c r="I89" s="10"/>
      <c r="J89" s="38" t="s">
        <v>92</v>
      </c>
      <c r="K89" s="11">
        <v>6861</v>
      </c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>
        <v>44043</v>
      </c>
      <c r="B90" s="95" t="s">
        <v>212</v>
      </c>
      <c r="C90" s="96" t="s">
        <v>41</v>
      </c>
      <c r="D90" s="99"/>
      <c r="E90" s="10">
        <f t="shared" si="20"/>
        <v>0</v>
      </c>
      <c r="F90" s="99"/>
      <c r="G90" s="99">
        <f t="shared" si="18"/>
        <v>0</v>
      </c>
      <c r="H90" s="10">
        <f t="shared" si="19"/>
        <v>0</v>
      </c>
      <c r="I90" s="10">
        <v>103420.11</v>
      </c>
      <c r="J90" s="38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>
        <v>44085</v>
      </c>
      <c r="B91" s="73" t="s">
        <v>215</v>
      </c>
      <c r="C91" s="96" t="s">
        <v>41</v>
      </c>
      <c r="D91" s="10"/>
      <c r="E91" s="10">
        <f t="shared" si="20"/>
        <v>0</v>
      </c>
      <c r="F91" s="99"/>
      <c r="G91" s="99">
        <f t="shared" si="18"/>
        <v>0</v>
      </c>
      <c r="H91" s="10">
        <f t="shared" si="19"/>
        <v>0</v>
      </c>
      <c r="I91" s="10"/>
      <c r="J91" s="38"/>
      <c r="K91" s="11"/>
      <c r="L91" s="131">
        <v>70044.600000000006</v>
      </c>
      <c r="M91" s="10">
        <f>70049.6*P85</f>
        <v>64946.547261392356</v>
      </c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>
        <v>44091</v>
      </c>
      <c r="B92" s="8" t="s">
        <v>213</v>
      </c>
      <c r="C92" s="96" t="s">
        <v>66</v>
      </c>
      <c r="D92" s="10"/>
      <c r="E92" s="10">
        <f t="shared" si="20"/>
        <v>0</v>
      </c>
      <c r="F92" s="99">
        <v>3200</v>
      </c>
      <c r="G92" s="99">
        <f t="shared" si="18"/>
        <v>0</v>
      </c>
      <c r="H92" s="10">
        <f t="shared" si="19"/>
        <v>0</v>
      </c>
      <c r="I92" s="10"/>
      <c r="J92" s="38" t="s">
        <v>62</v>
      </c>
      <c r="K92" s="11">
        <v>6849</v>
      </c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>
        <v>44096</v>
      </c>
      <c r="B93" s="8" t="s">
        <v>214</v>
      </c>
      <c r="C93" s="96" t="s">
        <v>66</v>
      </c>
      <c r="D93" s="10"/>
      <c r="E93" s="10">
        <f t="shared" si="20"/>
        <v>0</v>
      </c>
      <c r="F93" s="99">
        <v>115560</v>
      </c>
      <c r="G93" s="99">
        <f t="shared" si="18"/>
        <v>0</v>
      </c>
      <c r="H93" s="10">
        <f t="shared" si="19"/>
        <v>0</v>
      </c>
      <c r="I93" s="10"/>
      <c r="J93" s="38" t="s">
        <v>92</v>
      </c>
      <c r="K93" s="11">
        <v>6861</v>
      </c>
      <c r="L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>
        <v>44118</v>
      </c>
      <c r="B94" s="95" t="s">
        <v>216</v>
      </c>
      <c r="C94" s="96" t="s">
        <v>41</v>
      </c>
      <c r="D94" s="10"/>
      <c r="E94" s="10">
        <f t="shared" si="20"/>
        <v>0</v>
      </c>
      <c r="F94" s="99"/>
      <c r="G94" s="99">
        <f t="shared" si="18"/>
        <v>0</v>
      </c>
      <c r="H94" s="10">
        <f t="shared" si="19"/>
        <v>0</v>
      </c>
      <c r="I94" s="10"/>
      <c r="J94" s="38"/>
      <c r="K94" s="11"/>
      <c r="L94" s="161">
        <v>118760</v>
      </c>
      <c r="M94" s="162">
        <v>1</v>
      </c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>
        <f>+A94</f>
        <v>44118</v>
      </c>
      <c r="B95" s="8" t="s">
        <v>217</v>
      </c>
      <c r="C95" s="96" t="s">
        <v>66</v>
      </c>
      <c r="D95" s="10">
        <f>13422711+1000000-10600000</f>
        <v>3822711</v>
      </c>
      <c r="E95" s="10">
        <f t="shared" si="20"/>
        <v>3822711</v>
      </c>
      <c r="F95" s="99"/>
      <c r="G95" s="99">
        <f t="shared" si="18"/>
        <v>0</v>
      </c>
      <c r="H95" s="10">
        <f t="shared" si="19"/>
        <v>3822711</v>
      </c>
      <c r="I95" s="10"/>
      <c r="J95" s="38"/>
      <c r="K95" s="11">
        <v>4761</v>
      </c>
      <c r="L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>
        <v>44123</v>
      </c>
      <c r="B96" s="8" t="s">
        <v>222</v>
      </c>
      <c r="C96" s="96" t="s">
        <v>66</v>
      </c>
      <c r="D96" s="10"/>
      <c r="E96" s="10">
        <f t="shared" si="20"/>
        <v>0</v>
      </c>
      <c r="F96" s="99">
        <v>660</v>
      </c>
      <c r="G96" s="99">
        <f t="shared" si="18"/>
        <v>660</v>
      </c>
      <c r="H96" s="10">
        <f t="shared" si="19"/>
        <v>0</v>
      </c>
      <c r="I96" s="10"/>
      <c r="J96" s="38"/>
      <c r="K96" s="11">
        <v>6861</v>
      </c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>
        <v>44124</v>
      </c>
      <c r="B97" s="8" t="s">
        <v>228</v>
      </c>
      <c r="C97" s="96" t="s">
        <v>66</v>
      </c>
      <c r="D97" s="10"/>
      <c r="E97" s="10"/>
      <c r="F97" s="99">
        <v>484</v>
      </c>
      <c r="G97" s="99">
        <f t="shared" si="18"/>
        <v>484</v>
      </c>
      <c r="H97" s="10"/>
      <c r="I97" s="10"/>
      <c r="J97" s="38"/>
      <c r="K97" s="11">
        <v>6861</v>
      </c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>
        <v>44130</v>
      </c>
      <c r="B98" s="8" t="s">
        <v>223</v>
      </c>
      <c r="C98" s="96" t="s">
        <v>41</v>
      </c>
      <c r="D98" s="10"/>
      <c r="E98" s="10">
        <f t="shared" si="20"/>
        <v>0</v>
      </c>
      <c r="F98" s="99"/>
      <c r="G98" s="99">
        <v>112725.22</v>
      </c>
      <c r="H98" s="10">
        <f t="shared" ref="H98:H112" si="21">+D98</f>
        <v>0</v>
      </c>
      <c r="I98" s="10"/>
      <c r="J98" s="38" t="s">
        <v>224</v>
      </c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>
        <v>44137</v>
      </c>
      <c r="B99" s="8" t="s">
        <v>225</v>
      </c>
      <c r="C99" s="96" t="s">
        <v>66</v>
      </c>
      <c r="D99" s="10"/>
      <c r="E99" s="10">
        <f t="shared" si="20"/>
        <v>0</v>
      </c>
      <c r="F99" s="99">
        <v>272738.75</v>
      </c>
      <c r="G99" s="10">
        <f t="shared" ref="G99:G112" si="22">IF(J99&gt;0,0,F99)</f>
        <v>0</v>
      </c>
      <c r="H99" s="10">
        <f t="shared" si="21"/>
        <v>0</v>
      </c>
      <c r="I99" s="10"/>
      <c r="J99" s="38" t="s">
        <v>55</v>
      </c>
      <c r="K99" s="11">
        <v>6811</v>
      </c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>
        <v>44139</v>
      </c>
      <c r="B100" s="8" t="s">
        <v>226</v>
      </c>
      <c r="C100" s="96" t="s">
        <v>41</v>
      </c>
      <c r="D100" s="10"/>
      <c r="E100" s="10">
        <f t="shared" si="20"/>
        <v>0</v>
      </c>
      <c r="F100" s="99"/>
      <c r="G100" s="10">
        <v>11290169</v>
      </c>
      <c r="H100" s="10">
        <f t="shared" si="21"/>
        <v>0</v>
      </c>
      <c r="I100" s="10"/>
      <c r="J100" s="38" t="s">
        <v>227</v>
      </c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>
        <v>44147</v>
      </c>
      <c r="B101" s="8" t="s">
        <v>229</v>
      </c>
      <c r="C101" s="96" t="s">
        <v>81</v>
      </c>
      <c r="D101" s="10"/>
      <c r="E101" s="10">
        <f t="shared" si="20"/>
        <v>0</v>
      </c>
      <c r="F101" s="99"/>
      <c r="G101" s="10">
        <v>107937.96</v>
      </c>
      <c r="H101" s="10">
        <f t="shared" si="21"/>
        <v>0</v>
      </c>
      <c r="I101" s="10"/>
      <c r="J101" s="38" t="s">
        <v>55</v>
      </c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 t="s">
        <v>334</v>
      </c>
      <c r="B102" s="95" t="s">
        <v>341</v>
      </c>
      <c r="C102" s="96" t="s">
        <v>66</v>
      </c>
      <c r="D102" s="10">
        <v>115000</v>
      </c>
      <c r="E102" s="10">
        <f t="shared" ref="E102:E116" si="23">+D102</f>
        <v>115000</v>
      </c>
      <c r="F102" s="99"/>
      <c r="G102" s="10">
        <f t="shared" si="22"/>
        <v>0</v>
      </c>
      <c r="H102" s="10">
        <f t="shared" si="21"/>
        <v>115000</v>
      </c>
      <c r="I102" s="10"/>
      <c r="J102" s="38"/>
      <c r="K102" s="11"/>
      <c r="L102" s="10"/>
      <c r="M102" s="8" t="s">
        <v>218</v>
      </c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>
        <v>44154</v>
      </c>
      <c r="B103" s="12" t="s">
        <v>230</v>
      </c>
      <c r="C103" s="96" t="s">
        <v>66</v>
      </c>
      <c r="D103" s="10"/>
      <c r="E103" s="10">
        <f t="shared" si="23"/>
        <v>0</v>
      </c>
      <c r="F103" s="99">
        <v>8800</v>
      </c>
      <c r="G103" s="10">
        <f t="shared" si="22"/>
        <v>0</v>
      </c>
      <c r="H103" s="10">
        <f t="shared" si="21"/>
        <v>0</v>
      </c>
      <c r="I103" s="10"/>
      <c r="J103" s="38" t="s">
        <v>49</v>
      </c>
      <c r="K103" s="11">
        <v>6864</v>
      </c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>
        <v>44155</v>
      </c>
      <c r="B104" s="95" t="s">
        <v>231</v>
      </c>
      <c r="C104" s="96" t="s">
        <v>41</v>
      </c>
      <c r="D104" s="10"/>
      <c r="E104" s="10">
        <f t="shared" si="23"/>
        <v>0</v>
      </c>
      <c r="F104" s="99"/>
      <c r="G104" s="10">
        <f t="shared" si="22"/>
        <v>0</v>
      </c>
      <c r="H104" s="10">
        <f t="shared" si="21"/>
        <v>0</v>
      </c>
      <c r="I104" s="10"/>
      <c r="J104" s="38"/>
      <c r="K104" s="11"/>
      <c r="L104" s="131">
        <v>209984.01</v>
      </c>
      <c r="M104" s="10">
        <f>282682.75*P85</f>
        <v>262089.5562980425</v>
      </c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>
        <v>44166</v>
      </c>
      <c r="B105" s="8" t="s">
        <v>232</v>
      </c>
      <c r="C105" s="96" t="s">
        <v>81</v>
      </c>
      <c r="D105" s="10"/>
      <c r="E105" s="10">
        <f t="shared" si="23"/>
        <v>0</v>
      </c>
      <c r="F105" s="99"/>
      <c r="G105" s="10">
        <v>44519</v>
      </c>
      <c r="H105" s="10">
        <f t="shared" si="21"/>
        <v>0</v>
      </c>
      <c r="I105" s="10"/>
      <c r="J105" s="38" t="s">
        <v>47</v>
      </c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>
        <v>44158</v>
      </c>
      <c r="B106" s="95" t="s">
        <v>233</v>
      </c>
      <c r="C106" s="96" t="s">
        <v>41</v>
      </c>
      <c r="D106" s="10"/>
      <c r="E106" s="10">
        <f t="shared" si="23"/>
        <v>0</v>
      </c>
      <c r="F106" s="99"/>
      <c r="G106" s="10">
        <f t="shared" si="22"/>
        <v>0</v>
      </c>
      <c r="H106" s="10">
        <f t="shared" si="21"/>
        <v>0</v>
      </c>
      <c r="I106" s="10">
        <v>118760</v>
      </c>
      <c r="J106" s="38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>
        <v>44127</v>
      </c>
      <c r="B107" s="95" t="s">
        <v>234</v>
      </c>
      <c r="C107" s="96" t="s">
        <v>41</v>
      </c>
      <c r="D107" s="10"/>
      <c r="E107" s="10">
        <f t="shared" si="23"/>
        <v>0</v>
      </c>
      <c r="F107" s="99"/>
      <c r="G107" s="10">
        <f t="shared" si="22"/>
        <v>0</v>
      </c>
      <c r="H107" s="10">
        <f t="shared" si="21"/>
        <v>0</v>
      </c>
      <c r="I107" s="10">
        <v>70044.600000000006</v>
      </c>
      <c r="J107" s="38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>
        <v>44166</v>
      </c>
      <c r="B108" s="12" t="s">
        <v>235</v>
      </c>
      <c r="C108" s="96" t="s">
        <v>66</v>
      </c>
      <c r="D108" s="10"/>
      <c r="E108" s="10">
        <f t="shared" si="23"/>
        <v>0</v>
      </c>
      <c r="F108" s="99">
        <v>2885</v>
      </c>
      <c r="G108" s="10">
        <f t="shared" si="22"/>
        <v>0</v>
      </c>
      <c r="H108" s="10">
        <f t="shared" si="21"/>
        <v>0</v>
      </c>
      <c r="I108" s="10"/>
      <c r="J108" s="38" t="s">
        <v>47</v>
      </c>
      <c r="K108" s="11">
        <v>6849</v>
      </c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>
        <v>44166</v>
      </c>
      <c r="B109" s="12" t="s">
        <v>236</v>
      </c>
      <c r="C109" s="96" t="s">
        <v>66</v>
      </c>
      <c r="D109" s="10"/>
      <c r="E109" s="10">
        <f t="shared" si="23"/>
        <v>0</v>
      </c>
      <c r="F109" s="99">
        <v>4320</v>
      </c>
      <c r="G109" s="10">
        <f t="shared" si="22"/>
        <v>0</v>
      </c>
      <c r="H109" s="10">
        <f t="shared" si="21"/>
        <v>0</v>
      </c>
      <c r="I109" s="10"/>
      <c r="J109" s="38" t="s">
        <v>47</v>
      </c>
      <c r="K109" s="11">
        <v>6849</v>
      </c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>
        <v>44147</v>
      </c>
      <c r="B110" s="8" t="s">
        <v>237</v>
      </c>
      <c r="C110" s="96" t="s">
        <v>66</v>
      </c>
      <c r="D110" s="10"/>
      <c r="E110" s="10">
        <f t="shared" si="23"/>
        <v>0</v>
      </c>
      <c r="F110" s="99">
        <v>330</v>
      </c>
      <c r="G110" s="10">
        <f t="shared" si="22"/>
        <v>330</v>
      </c>
      <c r="H110" s="10">
        <f t="shared" si="21"/>
        <v>0</v>
      </c>
      <c r="I110" s="10"/>
      <c r="J110" s="38"/>
      <c r="K110" s="11">
        <v>6861</v>
      </c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>
        <v>44160</v>
      </c>
      <c r="B111" s="8" t="s">
        <v>238</v>
      </c>
      <c r="C111" s="96" t="s">
        <v>66</v>
      </c>
      <c r="D111" s="10"/>
      <c r="E111" s="10">
        <f t="shared" si="23"/>
        <v>0</v>
      </c>
      <c r="F111" s="99">
        <v>64319</v>
      </c>
      <c r="G111" s="10">
        <f t="shared" si="22"/>
        <v>64319</v>
      </c>
      <c r="H111" s="10">
        <f t="shared" si="21"/>
        <v>0</v>
      </c>
      <c r="I111" s="10"/>
      <c r="J111" s="38"/>
      <c r="K111" s="11">
        <v>6865</v>
      </c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>
        <v>44179</v>
      </c>
      <c r="B112" s="73" t="s">
        <v>239</v>
      </c>
      <c r="C112" s="96" t="s">
        <v>41</v>
      </c>
      <c r="D112" s="10"/>
      <c r="E112" s="10">
        <f t="shared" si="23"/>
        <v>0</v>
      </c>
      <c r="F112" s="99"/>
      <c r="G112" s="10">
        <f t="shared" si="22"/>
        <v>0</v>
      </c>
      <c r="H112" s="10">
        <f t="shared" si="21"/>
        <v>0</v>
      </c>
      <c r="I112" s="10"/>
      <c r="J112" s="38"/>
      <c r="K112" s="11"/>
      <c r="L112" s="131">
        <v>6957.09</v>
      </c>
      <c r="M112" s="10">
        <v>0.92330325000000002</v>
      </c>
      <c r="N112" s="131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>
        <v>44183</v>
      </c>
      <c r="B113" s="12" t="s">
        <v>240</v>
      </c>
      <c r="C113" s="96" t="s">
        <v>66</v>
      </c>
      <c r="D113" s="10"/>
      <c r="E113" s="10">
        <f t="shared" si="23"/>
        <v>0</v>
      </c>
      <c r="F113" s="99">
        <v>14302.9</v>
      </c>
      <c r="G113" s="10">
        <f t="shared" ref="G113:G128" si="24">IF(J113&gt;0,0,F113)</f>
        <v>0</v>
      </c>
      <c r="H113" s="10">
        <f t="shared" ref="H113:H128" si="25">+D113</f>
        <v>0</v>
      </c>
      <c r="I113" s="10"/>
      <c r="J113" s="38" t="s">
        <v>92</v>
      </c>
      <c r="K113" s="11">
        <v>6861</v>
      </c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>
        <v>44193</v>
      </c>
      <c r="B114" s="12" t="s">
        <v>241</v>
      </c>
      <c r="C114" s="96" t="s">
        <v>66</v>
      </c>
      <c r="D114" s="10">
        <v>0</v>
      </c>
      <c r="E114" s="10">
        <f t="shared" si="23"/>
        <v>0</v>
      </c>
      <c r="F114" s="99">
        <v>13000</v>
      </c>
      <c r="G114" s="10">
        <f t="shared" si="24"/>
        <v>0</v>
      </c>
      <c r="H114" s="10">
        <f t="shared" si="25"/>
        <v>0</v>
      </c>
      <c r="I114" s="10"/>
      <c r="J114" s="38" t="s">
        <v>55</v>
      </c>
      <c r="K114" s="11">
        <v>6811</v>
      </c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>
        <v>44195</v>
      </c>
      <c r="B115" s="95" t="s">
        <v>242</v>
      </c>
      <c r="C115" s="96" t="s">
        <v>41</v>
      </c>
      <c r="D115" s="10"/>
      <c r="E115" s="10">
        <f t="shared" si="23"/>
        <v>0</v>
      </c>
      <c r="F115" s="99"/>
      <c r="G115" s="10">
        <f t="shared" si="24"/>
        <v>0</v>
      </c>
      <c r="H115" s="10">
        <f t="shared" si="25"/>
        <v>0</v>
      </c>
      <c r="I115" s="10">
        <v>209984.01</v>
      </c>
      <c r="J115" s="38"/>
      <c r="K115" s="11">
        <v>4760</v>
      </c>
      <c r="L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>
        <v>44211</v>
      </c>
      <c r="B116" s="95" t="s">
        <v>245</v>
      </c>
      <c r="C116" s="96" t="s">
        <v>41</v>
      </c>
      <c r="D116" s="10"/>
      <c r="E116" s="10">
        <f t="shared" si="23"/>
        <v>0</v>
      </c>
      <c r="F116" s="99"/>
      <c r="G116" s="10">
        <f t="shared" si="24"/>
        <v>0</v>
      </c>
      <c r="H116" s="10">
        <f t="shared" si="25"/>
        <v>0</v>
      </c>
      <c r="I116" s="10"/>
      <c r="J116" s="38"/>
      <c r="K116" s="11"/>
      <c r="L116" s="131">
        <v>25208.85</v>
      </c>
      <c r="M116" s="10">
        <v>0.923303023</v>
      </c>
      <c r="N116" s="10" t="s">
        <v>519</v>
      </c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>
        <v>44208</v>
      </c>
      <c r="B117" s="8" t="s">
        <v>243</v>
      </c>
      <c r="C117" s="96" t="s">
        <v>66</v>
      </c>
      <c r="D117" s="10"/>
      <c r="E117" s="10">
        <f t="shared" ref="E117:E132" si="26">+D117</f>
        <v>0</v>
      </c>
      <c r="F117" s="99">
        <v>516991</v>
      </c>
      <c r="G117" s="10">
        <f t="shared" si="24"/>
        <v>0</v>
      </c>
      <c r="H117" s="10">
        <f t="shared" si="25"/>
        <v>0</v>
      </c>
      <c r="I117" s="10"/>
      <c r="J117" s="38" t="s">
        <v>227</v>
      </c>
      <c r="K117" s="11">
        <v>6811</v>
      </c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>
        <v>44208</v>
      </c>
      <c r="B118" s="8" t="s">
        <v>244</v>
      </c>
      <c r="C118" s="96" t="s">
        <v>66</v>
      </c>
      <c r="D118" s="10"/>
      <c r="E118" s="10">
        <f t="shared" si="26"/>
        <v>0</v>
      </c>
      <c r="F118" s="99">
        <v>27211</v>
      </c>
      <c r="G118" s="10">
        <f t="shared" si="24"/>
        <v>0</v>
      </c>
      <c r="H118" s="10">
        <f t="shared" si="25"/>
        <v>0</v>
      </c>
      <c r="I118" s="10"/>
      <c r="J118" s="38" t="s">
        <v>227</v>
      </c>
      <c r="K118" s="11">
        <v>6811</v>
      </c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>
        <v>44221</v>
      </c>
      <c r="B119" s="8" t="s">
        <v>246</v>
      </c>
      <c r="C119" s="96" t="s">
        <v>66</v>
      </c>
      <c r="D119" s="10"/>
      <c r="E119" s="10">
        <f t="shared" si="26"/>
        <v>0</v>
      </c>
      <c r="F119" s="99">
        <v>1260.7</v>
      </c>
      <c r="G119" s="10">
        <f t="shared" si="24"/>
        <v>0</v>
      </c>
      <c r="H119" s="10">
        <f t="shared" si="25"/>
        <v>0</v>
      </c>
      <c r="I119" s="10"/>
      <c r="J119" s="38" t="s">
        <v>224</v>
      </c>
      <c r="K119" s="11">
        <v>6873</v>
      </c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>
        <v>44230</v>
      </c>
      <c r="B120" s="8" t="s">
        <v>247</v>
      </c>
      <c r="C120" s="96" t="s">
        <v>66</v>
      </c>
      <c r="D120" s="10"/>
      <c r="E120" s="10">
        <f t="shared" si="26"/>
        <v>0</v>
      </c>
      <c r="F120" s="99">
        <v>16947.8</v>
      </c>
      <c r="G120" s="10">
        <f t="shared" si="24"/>
        <v>0</v>
      </c>
      <c r="H120" s="10">
        <f t="shared" si="25"/>
        <v>0</v>
      </c>
      <c r="I120" s="10"/>
      <c r="J120" s="38" t="s">
        <v>92</v>
      </c>
      <c r="K120" s="11">
        <v>6861</v>
      </c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>
        <v>44210</v>
      </c>
      <c r="B121" s="8" t="s">
        <v>248</v>
      </c>
      <c r="C121" s="96" t="s">
        <v>66</v>
      </c>
      <c r="D121" s="10"/>
      <c r="E121" s="10">
        <f t="shared" si="26"/>
        <v>0</v>
      </c>
      <c r="F121" s="99">
        <v>5983.79</v>
      </c>
      <c r="G121" s="10">
        <f t="shared" si="24"/>
        <v>5983.79</v>
      </c>
      <c r="H121" s="10">
        <f t="shared" si="25"/>
        <v>0</v>
      </c>
      <c r="I121" s="10"/>
      <c r="J121" s="38"/>
      <c r="K121" s="11">
        <v>6872</v>
      </c>
      <c r="L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>
        <v>44224</v>
      </c>
      <c r="B122" s="95" t="s">
        <v>249</v>
      </c>
      <c r="C122" s="96" t="s">
        <v>41</v>
      </c>
      <c r="D122" s="10"/>
      <c r="E122" s="10">
        <f t="shared" si="26"/>
        <v>0</v>
      </c>
      <c r="F122" s="99"/>
      <c r="G122" s="10">
        <f t="shared" si="24"/>
        <v>0</v>
      </c>
      <c r="H122" s="10">
        <f t="shared" si="25"/>
        <v>0</v>
      </c>
      <c r="I122" s="10">
        <v>6957.09</v>
      </c>
      <c r="J122" s="38"/>
      <c r="K122" s="11">
        <v>4760</v>
      </c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>
        <v>44238</v>
      </c>
      <c r="B123" s="95" t="s">
        <v>250</v>
      </c>
      <c r="C123" s="96" t="s">
        <v>41</v>
      </c>
      <c r="D123" s="10"/>
      <c r="E123" s="10">
        <f t="shared" si="26"/>
        <v>0</v>
      </c>
      <c r="F123" s="99"/>
      <c r="G123" s="10">
        <f t="shared" si="24"/>
        <v>0</v>
      </c>
      <c r="H123" s="10">
        <f t="shared" si="25"/>
        <v>0</v>
      </c>
      <c r="I123" s="10"/>
      <c r="J123" s="38"/>
      <c r="K123" s="11"/>
      <c r="L123" s="131">
        <v>524800.18000000005</v>
      </c>
      <c r="M123" s="10">
        <v>0.93315345999999999</v>
      </c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>
        <v>44244</v>
      </c>
      <c r="B124" s="8" t="s">
        <v>251</v>
      </c>
      <c r="C124" s="96" t="s">
        <v>81</v>
      </c>
      <c r="D124" s="10"/>
      <c r="E124" s="10">
        <f t="shared" si="26"/>
        <v>0</v>
      </c>
      <c r="F124" s="99"/>
      <c r="G124" s="10">
        <v>-120000</v>
      </c>
      <c r="H124" s="10">
        <f t="shared" si="25"/>
        <v>0</v>
      </c>
      <c r="I124" s="10"/>
      <c r="J124" s="38" t="s">
        <v>227</v>
      </c>
      <c r="K124" s="11"/>
      <c r="L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>
        <v>44247</v>
      </c>
      <c r="B125" s="8" t="s">
        <v>252</v>
      </c>
      <c r="C125" s="96" t="s">
        <v>66</v>
      </c>
      <c r="D125" s="10"/>
      <c r="E125" s="10">
        <f t="shared" si="26"/>
        <v>0</v>
      </c>
      <c r="F125" s="99">
        <v>2244.4</v>
      </c>
      <c r="G125" s="10">
        <f t="shared" si="24"/>
        <v>0</v>
      </c>
      <c r="H125" s="10">
        <f t="shared" si="25"/>
        <v>0</v>
      </c>
      <c r="I125" s="10"/>
      <c r="J125" s="38" t="s">
        <v>224</v>
      </c>
      <c r="K125" s="11">
        <v>6873</v>
      </c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>
        <v>44252</v>
      </c>
      <c r="B126" s="8" t="s">
        <v>253</v>
      </c>
      <c r="C126" s="96" t="s">
        <v>66</v>
      </c>
      <c r="D126" s="10"/>
      <c r="E126" s="10">
        <f t="shared" si="26"/>
        <v>0</v>
      </c>
      <c r="F126" s="99">
        <v>17073</v>
      </c>
      <c r="G126" s="10">
        <f t="shared" si="24"/>
        <v>0</v>
      </c>
      <c r="H126" s="10">
        <f t="shared" si="25"/>
        <v>0</v>
      </c>
      <c r="I126" s="10"/>
      <c r="J126" s="38" t="s">
        <v>55</v>
      </c>
      <c r="K126" s="11">
        <v>6811</v>
      </c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>
        <v>44251</v>
      </c>
      <c r="B127" s="8" t="s">
        <v>254</v>
      </c>
      <c r="C127" s="96" t="s">
        <v>66</v>
      </c>
      <c r="D127" s="10"/>
      <c r="E127" s="10">
        <f t="shared" si="26"/>
        <v>0</v>
      </c>
      <c r="F127" s="99">
        <v>1725</v>
      </c>
      <c r="G127" s="10">
        <f t="shared" si="24"/>
        <v>0</v>
      </c>
      <c r="H127" s="10">
        <f t="shared" si="25"/>
        <v>0</v>
      </c>
      <c r="I127" s="10"/>
      <c r="J127" s="38" t="s">
        <v>47</v>
      </c>
      <c r="K127" s="11">
        <v>6849</v>
      </c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>
        <v>44251</v>
      </c>
      <c r="B128" s="8" t="s">
        <v>255</v>
      </c>
      <c r="C128" s="96" t="s">
        <v>66</v>
      </c>
      <c r="D128" s="10"/>
      <c r="E128" s="10">
        <f t="shared" si="26"/>
        <v>0</v>
      </c>
      <c r="F128" s="99">
        <v>2115</v>
      </c>
      <c r="G128" s="10">
        <f t="shared" si="24"/>
        <v>0</v>
      </c>
      <c r="H128" s="10">
        <f t="shared" si="25"/>
        <v>0</v>
      </c>
      <c r="I128" s="10"/>
      <c r="J128" s="38" t="s">
        <v>47</v>
      </c>
      <c r="K128" s="11">
        <v>6849</v>
      </c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>
        <v>44252</v>
      </c>
      <c r="B129" s="12" t="s">
        <v>256</v>
      </c>
      <c r="C129" s="96" t="s">
        <v>81</v>
      </c>
      <c r="D129" s="10"/>
      <c r="E129" s="10">
        <f t="shared" si="26"/>
        <v>0</v>
      </c>
      <c r="F129" s="99"/>
      <c r="G129" s="10">
        <v>362719.54</v>
      </c>
      <c r="H129" s="10">
        <f t="shared" ref="H129:H144" si="27">+D129</f>
        <v>0</v>
      </c>
      <c r="I129" s="10"/>
      <c r="J129" s="38" t="s">
        <v>55</v>
      </c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>
        <v>44257</v>
      </c>
      <c r="B130" s="12" t="s">
        <v>257</v>
      </c>
      <c r="C130" s="96" t="s">
        <v>66</v>
      </c>
      <c r="D130" s="10"/>
      <c r="E130" s="10">
        <f t="shared" si="26"/>
        <v>0</v>
      </c>
      <c r="F130" s="99">
        <v>4216.7</v>
      </c>
      <c r="G130" s="10">
        <f t="shared" ref="G130:G144" si="28">IF(J130&gt;0,0,F130)</f>
        <v>0</v>
      </c>
      <c r="H130" s="10">
        <f t="shared" si="27"/>
        <v>0</v>
      </c>
      <c r="I130" s="10"/>
      <c r="J130" s="38" t="s">
        <v>224</v>
      </c>
      <c r="K130" s="11">
        <v>6873</v>
      </c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>
        <v>44253</v>
      </c>
      <c r="B131" s="95" t="s">
        <v>258</v>
      </c>
      <c r="C131" s="96" t="s">
        <v>41</v>
      </c>
      <c r="D131" s="10"/>
      <c r="E131" s="10">
        <f t="shared" si="26"/>
        <v>0</v>
      </c>
      <c r="F131" s="99"/>
      <c r="G131" s="10">
        <f t="shared" si="28"/>
        <v>0</v>
      </c>
      <c r="H131" s="10">
        <f t="shared" si="27"/>
        <v>0</v>
      </c>
      <c r="I131" s="10">
        <v>25208.85</v>
      </c>
      <c r="J131" s="38"/>
      <c r="K131" s="11">
        <v>4760</v>
      </c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>
        <v>44264</v>
      </c>
      <c r="B132" s="8" t="s">
        <v>259</v>
      </c>
      <c r="C132" s="96" t="s">
        <v>66</v>
      </c>
      <c r="D132" s="10"/>
      <c r="E132" s="10">
        <f t="shared" si="26"/>
        <v>0</v>
      </c>
      <c r="F132" s="99">
        <v>8</v>
      </c>
      <c r="G132" s="10">
        <f t="shared" si="28"/>
        <v>8</v>
      </c>
      <c r="H132" s="10">
        <f t="shared" si="27"/>
        <v>0</v>
      </c>
      <c r="I132" s="10"/>
      <c r="J132" s="38"/>
      <c r="K132" s="11">
        <v>6879</v>
      </c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99" customFormat="1" ht="14.1" customHeight="1" x14ac:dyDescent="0.2">
      <c r="A133" s="124">
        <v>44256</v>
      </c>
      <c r="B133" s="99" t="s">
        <v>268</v>
      </c>
      <c r="C133" s="101" t="s">
        <v>66</v>
      </c>
      <c r="E133" s="99">
        <f>+D133</f>
        <v>0</v>
      </c>
      <c r="F133" s="99">
        <v>11983.1</v>
      </c>
      <c r="G133" s="99">
        <f>IF(J133&gt;0,0,F133)</f>
        <v>0</v>
      </c>
      <c r="H133" s="99">
        <f>+D133</f>
        <v>0</v>
      </c>
      <c r="J133" s="125" t="s">
        <v>92</v>
      </c>
      <c r="K133" s="126">
        <v>6861</v>
      </c>
    </row>
    <row r="134" spans="1:254" s="12" customFormat="1" ht="14.1" customHeight="1" x14ac:dyDescent="0.2">
      <c r="A134" s="7">
        <v>44265</v>
      </c>
      <c r="B134" s="12" t="s">
        <v>260</v>
      </c>
      <c r="C134" s="96" t="s">
        <v>66</v>
      </c>
      <c r="D134" s="10"/>
      <c r="E134" s="10">
        <f t="shared" ref="E134:E148" si="29">+D134</f>
        <v>0</v>
      </c>
      <c r="F134" s="99">
        <v>1200</v>
      </c>
      <c r="G134" s="10">
        <f t="shared" si="28"/>
        <v>0</v>
      </c>
      <c r="H134" s="10">
        <f t="shared" si="27"/>
        <v>0</v>
      </c>
      <c r="I134" s="10"/>
      <c r="J134" s="38" t="s">
        <v>62</v>
      </c>
      <c r="K134" s="11">
        <v>6849</v>
      </c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>
        <v>44271</v>
      </c>
      <c r="B135" s="95" t="s">
        <v>264</v>
      </c>
      <c r="C135" s="96" t="s">
        <v>41</v>
      </c>
      <c r="D135" s="10"/>
      <c r="E135" s="10">
        <f t="shared" si="29"/>
        <v>0</v>
      </c>
      <c r="F135" s="99"/>
      <c r="G135" s="10">
        <f t="shared" si="28"/>
        <v>0</v>
      </c>
      <c r="H135" s="10">
        <f t="shared" si="27"/>
        <v>0</v>
      </c>
      <c r="I135" s="10"/>
      <c r="J135" s="38"/>
      <c r="K135" s="11"/>
      <c r="L135" s="131">
        <v>37453.96</v>
      </c>
      <c r="M135" s="10">
        <v>0.98916930000000003</v>
      </c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>
        <v>44274</v>
      </c>
      <c r="B136" s="95" t="s">
        <v>261</v>
      </c>
      <c r="C136" s="96" t="s">
        <v>41</v>
      </c>
      <c r="D136" s="10"/>
      <c r="E136" s="10">
        <f t="shared" si="29"/>
        <v>0</v>
      </c>
      <c r="F136" s="99"/>
      <c r="G136" s="10">
        <f t="shared" si="28"/>
        <v>0</v>
      </c>
      <c r="H136" s="10">
        <f t="shared" si="27"/>
        <v>0</v>
      </c>
      <c r="I136" s="10">
        <v>524800.18000000005</v>
      </c>
      <c r="J136" s="38"/>
      <c r="K136" s="11">
        <v>4760</v>
      </c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>
        <v>44274</v>
      </c>
      <c r="B137" s="8" t="s">
        <v>262</v>
      </c>
      <c r="C137" s="96" t="s">
        <v>66</v>
      </c>
      <c r="D137" s="10"/>
      <c r="E137" s="10">
        <f t="shared" si="29"/>
        <v>0</v>
      </c>
      <c r="F137" s="99">
        <v>14598</v>
      </c>
      <c r="G137" s="10">
        <f t="shared" si="28"/>
        <v>0</v>
      </c>
      <c r="H137" s="10">
        <f t="shared" si="27"/>
        <v>0</v>
      </c>
      <c r="I137" s="10"/>
      <c r="J137" s="38" t="s">
        <v>55</v>
      </c>
      <c r="K137" s="11">
        <v>6811</v>
      </c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>
        <v>44277</v>
      </c>
      <c r="B138" s="12" t="s">
        <v>263</v>
      </c>
      <c r="C138" s="96" t="s">
        <v>66</v>
      </c>
      <c r="D138" s="10"/>
      <c r="E138" s="10">
        <f t="shared" si="29"/>
        <v>0</v>
      </c>
      <c r="F138" s="99">
        <v>9976.2000000000007</v>
      </c>
      <c r="G138" s="10">
        <f t="shared" si="28"/>
        <v>0</v>
      </c>
      <c r="H138" s="10">
        <f t="shared" si="27"/>
        <v>0</v>
      </c>
      <c r="I138" s="10"/>
      <c r="J138" s="38" t="s">
        <v>92</v>
      </c>
      <c r="K138" s="11">
        <v>6861</v>
      </c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>
        <v>44294</v>
      </c>
      <c r="B139" s="12" t="s">
        <v>265</v>
      </c>
      <c r="C139" s="96" t="s">
        <v>66</v>
      </c>
      <c r="E139" s="10">
        <f t="shared" si="29"/>
        <v>0</v>
      </c>
      <c r="F139" s="171">
        <v>8</v>
      </c>
      <c r="G139" s="10">
        <f t="shared" si="28"/>
        <v>8</v>
      </c>
      <c r="H139" s="10">
        <f t="shared" si="27"/>
        <v>0</v>
      </c>
      <c r="K139" s="11">
        <v>6879</v>
      </c>
      <c r="L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>
        <v>44302</v>
      </c>
      <c r="B140" s="95" t="s">
        <v>266</v>
      </c>
      <c r="C140" s="96" t="s">
        <v>41</v>
      </c>
      <c r="D140" s="10"/>
      <c r="E140" s="10">
        <f t="shared" si="29"/>
        <v>0</v>
      </c>
      <c r="F140" s="99"/>
      <c r="G140" s="10">
        <f t="shared" si="28"/>
        <v>0</v>
      </c>
      <c r="H140" s="10">
        <f t="shared" si="27"/>
        <v>0</v>
      </c>
      <c r="I140" s="10"/>
      <c r="J140" s="38"/>
      <c r="K140" s="11"/>
      <c r="L140" s="131">
        <v>22696.82</v>
      </c>
      <c r="M140" s="10">
        <v>0.98839750000000004</v>
      </c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>
        <v>44308</v>
      </c>
      <c r="B141" s="8" t="s">
        <v>267</v>
      </c>
      <c r="C141" s="96" t="s">
        <v>66</v>
      </c>
      <c r="D141" s="10"/>
      <c r="E141" s="10">
        <f t="shared" si="29"/>
        <v>0</v>
      </c>
      <c r="F141" s="99">
        <v>2735</v>
      </c>
      <c r="G141" s="10">
        <f t="shared" si="28"/>
        <v>0</v>
      </c>
      <c r="H141" s="10">
        <f t="shared" si="27"/>
        <v>0</v>
      </c>
      <c r="I141" s="10"/>
      <c r="J141" s="38" t="s">
        <v>47</v>
      </c>
      <c r="K141" s="11">
        <v>6849</v>
      </c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>
        <v>44308</v>
      </c>
      <c r="B142" s="8" t="s">
        <v>269</v>
      </c>
      <c r="C142" s="96" t="s">
        <v>66</v>
      </c>
      <c r="D142" s="10"/>
      <c r="E142" s="10">
        <f t="shared" si="29"/>
        <v>0</v>
      </c>
      <c r="F142" s="99">
        <v>11003.6</v>
      </c>
      <c r="G142" s="10">
        <f t="shared" si="28"/>
        <v>0</v>
      </c>
      <c r="H142" s="10">
        <f t="shared" si="27"/>
        <v>0</v>
      </c>
      <c r="I142" s="10"/>
      <c r="J142" s="38" t="s">
        <v>92</v>
      </c>
      <c r="K142" s="11">
        <v>6861</v>
      </c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>
        <v>44308</v>
      </c>
      <c r="B143" s="12" t="s">
        <v>270</v>
      </c>
      <c r="C143" s="96" t="s">
        <v>66</v>
      </c>
      <c r="D143" s="10"/>
      <c r="E143" s="10">
        <f t="shared" si="29"/>
        <v>0</v>
      </c>
      <c r="F143" s="99">
        <v>3108.3</v>
      </c>
      <c r="G143" s="10">
        <f t="shared" si="28"/>
        <v>0</v>
      </c>
      <c r="H143" s="10">
        <f t="shared" si="27"/>
        <v>0</v>
      </c>
      <c r="I143" s="10"/>
      <c r="J143" s="38" t="s">
        <v>62</v>
      </c>
      <c r="K143" s="11">
        <v>6849</v>
      </c>
      <c r="L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>
        <v>44313</v>
      </c>
      <c r="B144" s="12" t="s">
        <v>271</v>
      </c>
      <c r="C144" s="96" t="s">
        <v>66</v>
      </c>
      <c r="D144" s="10"/>
      <c r="E144" s="10">
        <f t="shared" si="29"/>
        <v>0</v>
      </c>
      <c r="F144" s="99">
        <v>8</v>
      </c>
      <c r="G144" s="10">
        <f t="shared" si="28"/>
        <v>8</v>
      </c>
      <c r="H144" s="10">
        <f t="shared" si="27"/>
        <v>0</v>
      </c>
      <c r="I144" s="10"/>
      <c r="J144" s="38"/>
      <c r="K144" s="11">
        <v>6879</v>
      </c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>
        <v>44309</v>
      </c>
      <c r="B145" s="95" t="s">
        <v>272</v>
      </c>
      <c r="C145" s="96" t="s">
        <v>41</v>
      </c>
      <c r="D145" s="10"/>
      <c r="E145" s="10">
        <f t="shared" si="29"/>
        <v>0</v>
      </c>
      <c r="F145" s="99"/>
      <c r="G145" s="10">
        <f t="shared" ref="G145:G160" si="30">IF(J145&gt;0,0,F145)</f>
        <v>0</v>
      </c>
      <c r="H145" s="10">
        <f t="shared" ref="H145:H160" si="31">+D145</f>
        <v>0</v>
      </c>
      <c r="I145" s="10">
        <v>37453.96</v>
      </c>
      <c r="J145" s="38"/>
      <c r="K145" s="11">
        <v>4760</v>
      </c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67" customFormat="1" ht="14.1" customHeight="1" x14ac:dyDescent="0.2">
      <c r="A146" s="163">
        <v>44322</v>
      </c>
      <c r="B146" s="130" t="s">
        <v>273</v>
      </c>
      <c r="C146" s="164" t="s">
        <v>81</v>
      </c>
      <c r="D146" s="131"/>
      <c r="E146" s="131">
        <f t="shared" si="29"/>
        <v>0</v>
      </c>
      <c r="F146" s="131"/>
      <c r="G146" s="131">
        <v>132934</v>
      </c>
      <c r="H146" s="131">
        <f t="shared" si="31"/>
        <v>0</v>
      </c>
      <c r="I146" s="131"/>
      <c r="J146" s="165" t="s">
        <v>92</v>
      </c>
      <c r="K146" s="166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131"/>
      <c r="AF146" s="131"/>
      <c r="AG146" s="131"/>
      <c r="AH146" s="131"/>
      <c r="AI146" s="131"/>
      <c r="AJ146" s="131"/>
      <c r="AK146" s="131"/>
      <c r="AL146" s="131"/>
      <c r="AM146" s="131"/>
      <c r="AN146" s="131"/>
      <c r="AO146" s="131"/>
      <c r="AP146" s="131"/>
      <c r="AQ146" s="131"/>
      <c r="AR146" s="131"/>
      <c r="AS146" s="131"/>
      <c r="AT146" s="131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131"/>
      <c r="BF146" s="131"/>
      <c r="BG146" s="131"/>
      <c r="BH146" s="131"/>
      <c r="BI146" s="131"/>
      <c r="BJ146" s="131"/>
      <c r="BK146" s="131"/>
      <c r="BL146" s="131"/>
      <c r="BM146" s="131"/>
      <c r="BN146" s="131"/>
      <c r="BO146" s="131"/>
      <c r="BP146" s="131"/>
      <c r="BQ146" s="131"/>
      <c r="BR146" s="131"/>
      <c r="BS146" s="131"/>
      <c r="BT146" s="131"/>
      <c r="BU146" s="131"/>
      <c r="BV146" s="131"/>
      <c r="BW146" s="131"/>
      <c r="BX146" s="131"/>
      <c r="BY146" s="131"/>
      <c r="BZ146" s="131"/>
      <c r="CA146" s="131"/>
      <c r="CB146" s="131"/>
      <c r="CC146" s="131"/>
      <c r="CD146" s="131"/>
      <c r="CE146" s="131"/>
      <c r="CF146" s="131"/>
      <c r="CG146" s="131"/>
      <c r="CH146" s="131"/>
      <c r="CI146" s="131"/>
      <c r="CJ146" s="131"/>
      <c r="CK146" s="131"/>
      <c r="CL146" s="131"/>
      <c r="CM146" s="131"/>
      <c r="CN146" s="131"/>
      <c r="CO146" s="131"/>
      <c r="CP146" s="131"/>
      <c r="CQ146" s="131"/>
      <c r="CR146" s="131"/>
      <c r="CS146" s="131"/>
      <c r="CT146" s="131"/>
      <c r="CU146" s="131"/>
      <c r="CV146" s="131"/>
      <c r="CW146" s="131"/>
      <c r="CX146" s="131"/>
      <c r="CY146" s="131"/>
      <c r="CZ146" s="131"/>
      <c r="DA146" s="131"/>
      <c r="DB146" s="131"/>
      <c r="DC146" s="131"/>
      <c r="DD146" s="131"/>
      <c r="DE146" s="131"/>
      <c r="DF146" s="131"/>
      <c r="DG146" s="131"/>
      <c r="DH146" s="131"/>
      <c r="DI146" s="131"/>
      <c r="DJ146" s="131"/>
      <c r="DK146" s="131"/>
      <c r="DL146" s="131"/>
      <c r="DM146" s="131"/>
      <c r="DN146" s="131"/>
      <c r="DO146" s="131"/>
      <c r="DP146" s="131"/>
      <c r="DQ146" s="131"/>
      <c r="DR146" s="131"/>
      <c r="DS146" s="131"/>
      <c r="DT146" s="131"/>
      <c r="DU146" s="131"/>
      <c r="DV146" s="131"/>
      <c r="DW146" s="131"/>
      <c r="DX146" s="131"/>
      <c r="DY146" s="131"/>
      <c r="DZ146" s="131"/>
      <c r="EA146" s="131"/>
      <c r="EB146" s="131"/>
      <c r="EC146" s="131"/>
      <c r="ED146" s="131"/>
      <c r="EE146" s="131"/>
      <c r="EF146" s="131"/>
      <c r="EG146" s="131"/>
      <c r="EH146" s="131"/>
      <c r="EI146" s="131"/>
      <c r="EJ146" s="131"/>
      <c r="EK146" s="131"/>
      <c r="EL146" s="131"/>
      <c r="EM146" s="131"/>
      <c r="EN146" s="131"/>
      <c r="EO146" s="131"/>
      <c r="EP146" s="131"/>
      <c r="EQ146" s="131"/>
      <c r="ER146" s="131"/>
      <c r="ES146" s="131"/>
      <c r="ET146" s="131"/>
      <c r="EU146" s="131"/>
      <c r="EV146" s="131"/>
      <c r="EW146" s="131"/>
      <c r="EX146" s="131"/>
      <c r="EY146" s="131"/>
      <c r="EZ146" s="131"/>
      <c r="FA146" s="131"/>
      <c r="FB146" s="131"/>
      <c r="FC146" s="131"/>
      <c r="FD146" s="131"/>
      <c r="FE146" s="131"/>
      <c r="FF146" s="131"/>
      <c r="FG146" s="131"/>
      <c r="FH146" s="131"/>
      <c r="FI146" s="131"/>
      <c r="FJ146" s="131"/>
      <c r="FK146" s="131"/>
      <c r="FL146" s="131"/>
      <c r="FM146" s="131"/>
      <c r="FN146" s="131"/>
      <c r="FO146" s="131"/>
      <c r="FP146" s="131"/>
      <c r="FQ146" s="131"/>
      <c r="FR146" s="131"/>
      <c r="FS146" s="131"/>
      <c r="FT146" s="131"/>
      <c r="FU146" s="131"/>
      <c r="FV146" s="131"/>
      <c r="FW146" s="131"/>
      <c r="FX146" s="131"/>
      <c r="FY146" s="131"/>
      <c r="FZ146" s="131"/>
      <c r="GA146" s="131"/>
      <c r="GB146" s="131"/>
      <c r="GC146" s="131"/>
      <c r="GD146" s="131"/>
      <c r="GE146" s="131"/>
      <c r="GF146" s="131"/>
      <c r="GG146" s="131"/>
      <c r="GH146" s="131"/>
      <c r="GI146" s="131"/>
      <c r="GJ146" s="131"/>
      <c r="GK146" s="131"/>
      <c r="GL146" s="131"/>
      <c r="GM146" s="131"/>
      <c r="GN146" s="131"/>
      <c r="GO146" s="131"/>
      <c r="GP146" s="131"/>
      <c r="GQ146" s="131"/>
      <c r="GR146" s="131"/>
      <c r="GS146" s="131"/>
      <c r="GT146" s="131"/>
      <c r="GU146" s="131"/>
      <c r="GV146" s="131"/>
      <c r="GW146" s="131"/>
      <c r="GX146" s="131"/>
      <c r="GY146" s="131"/>
      <c r="GZ146" s="131"/>
      <c r="HA146" s="131"/>
      <c r="HB146" s="131"/>
      <c r="HC146" s="131"/>
      <c r="HD146" s="131"/>
      <c r="HE146" s="131"/>
      <c r="HF146" s="131"/>
      <c r="HG146" s="131"/>
      <c r="HH146" s="131"/>
      <c r="HI146" s="131"/>
      <c r="HJ146" s="131"/>
      <c r="HK146" s="131"/>
      <c r="HL146" s="131"/>
      <c r="HM146" s="131"/>
      <c r="HN146" s="131"/>
      <c r="HO146" s="131"/>
      <c r="HP146" s="131"/>
      <c r="HQ146" s="131"/>
      <c r="HR146" s="131"/>
      <c r="HS146" s="131"/>
      <c r="HT146" s="131"/>
      <c r="HU146" s="131"/>
      <c r="HV146" s="131"/>
      <c r="HW146" s="131"/>
      <c r="HX146" s="131"/>
      <c r="HY146" s="131"/>
      <c r="HZ146" s="131"/>
      <c r="IA146" s="131"/>
      <c r="IB146" s="131"/>
      <c r="IC146" s="131"/>
      <c r="ID146" s="131"/>
      <c r="IE146" s="131"/>
      <c r="IF146" s="131"/>
      <c r="IG146" s="131"/>
      <c r="IH146" s="131"/>
      <c r="II146" s="131"/>
      <c r="IJ146" s="131"/>
      <c r="IK146" s="131"/>
      <c r="IL146" s="131"/>
      <c r="IM146" s="131"/>
      <c r="IN146" s="131"/>
      <c r="IO146" s="131"/>
      <c r="IP146" s="131"/>
      <c r="IQ146" s="131"/>
      <c r="IR146" s="131"/>
      <c r="IS146" s="131"/>
      <c r="IT146" s="131"/>
    </row>
    <row r="147" spans="1:254" s="167" customFormat="1" ht="14.1" customHeight="1" x14ac:dyDescent="0.2">
      <c r="A147" s="163">
        <f>+A146</f>
        <v>44322</v>
      </c>
      <c r="B147" s="130" t="s">
        <v>274</v>
      </c>
      <c r="C147" s="164" t="s">
        <v>66</v>
      </c>
      <c r="D147" s="131">
        <v>275000</v>
      </c>
      <c r="E147" s="131">
        <f t="shared" si="29"/>
        <v>275000</v>
      </c>
      <c r="F147" s="131"/>
      <c r="G147" s="131">
        <f t="shared" si="30"/>
        <v>0</v>
      </c>
      <c r="H147" s="131">
        <f t="shared" si="31"/>
        <v>275000</v>
      </c>
      <c r="I147" s="131"/>
      <c r="J147" s="165"/>
      <c r="K147" s="166">
        <v>4761</v>
      </c>
      <c r="L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  <c r="AA147" s="131"/>
      <c r="AB147" s="131"/>
      <c r="AC147" s="131"/>
      <c r="AD147" s="131"/>
      <c r="AE147" s="131"/>
      <c r="AF147" s="131"/>
      <c r="AG147" s="131"/>
      <c r="AH147" s="131"/>
      <c r="AI147" s="131"/>
      <c r="AJ147" s="131"/>
      <c r="AK147" s="131"/>
      <c r="AL147" s="131"/>
      <c r="AM147" s="131"/>
      <c r="AN147" s="131"/>
      <c r="AO147" s="131"/>
      <c r="AP147" s="131"/>
      <c r="AQ147" s="131"/>
      <c r="AR147" s="131"/>
      <c r="AS147" s="131"/>
      <c r="AT147" s="131"/>
      <c r="AU147" s="131"/>
      <c r="AV147" s="131"/>
      <c r="AW147" s="131"/>
      <c r="AX147" s="131"/>
      <c r="AY147" s="131"/>
      <c r="AZ147" s="131"/>
      <c r="BA147" s="131"/>
      <c r="BB147" s="131"/>
      <c r="BC147" s="131"/>
      <c r="BD147" s="131"/>
      <c r="BE147" s="131"/>
      <c r="BF147" s="131"/>
      <c r="BG147" s="131"/>
      <c r="BH147" s="131"/>
      <c r="BI147" s="131"/>
      <c r="BJ147" s="131"/>
      <c r="BK147" s="131"/>
      <c r="BL147" s="131"/>
      <c r="BM147" s="131"/>
      <c r="BN147" s="131"/>
      <c r="BO147" s="131"/>
      <c r="BP147" s="131"/>
      <c r="BQ147" s="131"/>
      <c r="BR147" s="131"/>
      <c r="BS147" s="131"/>
      <c r="BT147" s="131"/>
      <c r="BU147" s="131"/>
      <c r="BV147" s="131"/>
      <c r="BW147" s="131"/>
      <c r="BX147" s="131"/>
      <c r="BY147" s="131"/>
      <c r="BZ147" s="131"/>
      <c r="CA147" s="131"/>
      <c r="CB147" s="131"/>
      <c r="CC147" s="131"/>
      <c r="CD147" s="131"/>
      <c r="CE147" s="131"/>
      <c r="CF147" s="131"/>
      <c r="CG147" s="131"/>
      <c r="CH147" s="131"/>
      <c r="CI147" s="131"/>
      <c r="CJ147" s="131"/>
      <c r="CK147" s="131"/>
      <c r="CL147" s="131"/>
      <c r="CM147" s="131"/>
      <c r="CN147" s="131"/>
      <c r="CO147" s="131"/>
      <c r="CP147" s="131"/>
      <c r="CQ147" s="131"/>
      <c r="CR147" s="131"/>
      <c r="CS147" s="131"/>
      <c r="CT147" s="131"/>
      <c r="CU147" s="131"/>
      <c r="CV147" s="131"/>
      <c r="CW147" s="131"/>
      <c r="CX147" s="131"/>
      <c r="CY147" s="131"/>
      <c r="CZ147" s="131"/>
      <c r="DA147" s="131"/>
      <c r="DB147" s="131"/>
      <c r="DC147" s="131"/>
      <c r="DD147" s="131"/>
      <c r="DE147" s="131"/>
      <c r="DF147" s="131"/>
      <c r="DG147" s="131"/>
      <c r="DH147" s="131"/>
      <c r="DI147" s="131"/>
      <c r="DJ147" s="131"/>
      <c r="DK147" s="131"/>
      <c r="DL147" s="131"/>
      <c r="DM147" s="131"/>
      <c r="DN147" s="131"/>
      <c r="DO147" s="131"/>
      <c r="DP147" s="131"/>
      <c r="DQ147" s="131"/>
      <c r="DR147" s="131"/>
      <c r="DS147" s="131"/>
      <c r="DT147" s="131"/>
      <c r="DU147" s="131"/>
      <c r="DV147" s="131"/>
      <c r="DW147" s="131"/>
      <c r="DX147" s="131"/>
      <c r="DY147" s="131"/>
      <c r="DZ147" s="131"/>
      <c r="EA147" s="131"/>
      <c r="EB147" s="131"/>
      <c r="EC147" s="131"/>
      <c r="ED147" s="131"/>
      <c r="EE147" s="131"/>
      <c r="EF147" s="131"/>
      <c r="EG147" s="131"/>
      <c r="EH147" s="131"/>
      <c r="EI147" s="131"/>
      <c r="EJ147" s="131"/>
      <c r="EK147" s="131"/>
      <c r="EL147" s="131"/>
      <c r="EM147" s="131"/>
      <c r="EN147" s="131"/>
      <c r="EO147" s="131"/>
      <c r="EP147" s="131"/>
      <c r="EQ147" s="131"/>
      <c r="ER147" s="131"/>
      <c r="ES147" s="131"/>
      <c r="ET147" s="131"/>
      <c r="EU147" s="131"/>
      <c r="EV147" s="131"/>
      <c r="EW147" s="131"/>
      <c r="EX147" s="131"/>
      <c r="EY147" s="131"/>
      <c r="EZ147" s="131"/>
      <c r="FA147" s="131"/>
      <c r="FB147" s="131"/>
      <c r="FC147" s="131"/>
      <c r="FD147" s="131"/>
      <c r="FE147" s="131"/>
      <c r="FF147" s="131"/>
      <c r="FG147" s="131"/>
      <c r="FH147" s="131"/>
      <c r="FI147" s="131"/>
      <c r="FJ147" s="131"/>
      <c r="FK147" s="131"/>
      <c r="FL147" s="131"/>
      <c r="FM147" s="131"/>
      <c r="FN147" s="131"/>
      <c r="FO147" s="131"/>
      <c r="FP147" s="131"/>
      <c r="FQ147" s="131"/>
      <c r="FR147" s="131"/>
      <c r="FS147" s="131"/>
      <c r="FT147" s="131"/>
      <c r="FU147" s="131"/>
      <c r="FV147" s="131"/>
      <c r="FW147" s="131"/>
      <c r="FX147" s="131"/>
      <c r="FY147" s="131"/>
      <c r="FZ147" s="131"/>
      <c r="GA147" s="131"/>
      <c r="GB147" s="131"/>
      <c r="GC147" s="131"/>
      <c r="GD147" s="131"/>
      <c r="GE147" s="131"/>
      <c r="GF147" s="131"/>
      <c r="GG147" s="131"/>
      <c r="GH147" s="131"/>
      <c r="GI147" s="131"/>
      <c r="GJ147" s="131"/>
      <c r="GK147" s="131"/>
      <c r="GL147" s="131"/>
      <c r="GM147" s="131"/>
      <c r="GN147" s="131"/>
      <c r="GO147" s="131"/>
      <c r="GP147" s="131"/>
      <c r="GQ147" s="131"/>
      <c r="GR147" s="131"/>
      <c r="GS147" s="131"/>
      <c r="GT147" s="131"/>
      <c r="GU147" s="131"/>
      <c r="GV147" s="131"/>
      <c r="GW147" s="131"/>
      <c r="GX147" s="131"/>
      <c r="GY147" s="131"/>
      <c r="GZ147" s="131"/>
      <c r="HA147" s="131"/>
      <c r="HB147" s="131"/>
      <c r="HC147" s="131"/>
      <c r="HD147" s="131"/>
      <c r="HE147" s="131"/>
      <c r="HF147" s="131"/>
      <c r="HG147" s="131"/>
      <c r="HH147" s="131"/>
      <c r="HI147" s="131"/>
      <c r="HJ147" s="131"/>
      <c r="HK147" s="131"/>
      <c r="HL147" s="131"/>
      <c r="HM147" s="131"/>
      <c r="HN147" s="131"/>
      <c r="HO147" s="131"/>
      <c r="HP147" s="131"/>
      <c r="HQ147" s="131"/>
      <c r="HR147" s="131"/>
      <c r="HS147" s="131"/>
      <c r="HT147" s="131"/>
      <c r="HU147" s="131"/>
      <c r="HV147" s="131"/>
      <c r="HW147" s="131"/>
      <c r="HX147" s="131"/>
      <c r="HY147" s="131"/>
      <c r="HZ147" s="131"/>
      <c r="IA147" s="131"/>
      <c r="IB147" s="131"/>
      <c r="IC147" s="131"/>
      <c r="ID147" s="131"/>
      <c r="IE147" s="131"/>
      <c r="IF147" s="131"/>
      <c r="IG147" s="131"/>
      <c r="IH147" s="131"/>
      <c r="II147" s="131"/>
      <c r="IJ147" s="131"/>
      <c r="IK147" s="131"/>
      <c r="IL147" s="131"/>
      <c r="IM147" s="131"/>
      <c r="IN147" s="131"/>
      <c r="IO147" s="131"/>
      <c r="IP147" s="131"/>
      <c r="IQ147" s="131"/>
      <c r="IR147" s="131"/>
      <c r="IS147" s="131"/>
      <c r="IT147" s="131"/>
    </row>
    <row r="148" spans="1:254" s="171" customFormat="1" ht="14.1" customHeight="1" x14ac:dyDescent="0.2">
      <c r="A148" s="169">
        <v>44329</v>
      </c>
      <c r="B148" s="170" t="s">
        <v>275</v>
      </c>
      <c r="C148" s="101" t="s">
        <v>66</v>
      </c>
      <c r="D148" s="99"/>
      <c r="E148" s="99">
        <f t="shared" si="29"/>
        <v>0</v>
      </c>
      <c r="F148" s="99">
        <v>23723</v>
      </c>
      <c r="G148" s="99">
        <f t="shared" si="30"/>
        <v>0</v>
      </c>
      <c r="H148" s="99">
        <f t="shared" si="31"/>
        <v>0</v>
      </c>
      <c r="I148" s="99"/>
      <c r="J148" s="125" t="s">
        <v>227</v>
      </c>
      <c r="K148" s="126">
        <v>6811</v>
      </c>
      <c r="L148" s="99"/>
      <c r="M148" s="99"/>
      <c r="N148" s="99"/>
      <c r="O148" s="99"/>
      <c r="P148" s="99"/>
      <c r="Q148" s="99"/>
      <c r="R148" s="99"/>
      <c r="S148" s="99"/>
      <c r="T148" s="99"/>
      <c r="U148" s="99"/>
      <c r="V148" s="99"/>
      <c r="W148" s="99"/>
      <c r="X148" s="99"/>
      <c r="Y148" s="99"/>
      <c r="Z148" s="99"/>
      <c r="AA148" s="99"/>
      <c r="AB148" s="99"/>
      <c r="AC148" s="99"/>
      <c r="AD148" s="99"/>
      <c r="AE148" s="99"/>
      <c r="AF148" s="99"/>
      <c r="AG148" s="99"/>
      <c r="AH148" s="99"/>
      <c r="AI148" s="99"/>
      <c r="AJ148" s="99"/>
      <c r="AK148" s="99"/>
      <c r="AL148" s="99"/>
      <c r="AM148" s="99"/>
      <c r="AN148" s="99"/>
      <c r="AO148" s="99"/>
      <c r="AP148" s="99"/>
      <c r="AQ148" s="99"/>
      <c r="AR148" s="99"/>
      <c r="AS148" s="99"/>
      <c r="AT148" s="99"/>
      <c r="AU148" s="99"/>
      <c r="AV148" s="99"/>
      <c r="AW148" s="99"/>
      <c r="AX148" s="99"/>
      <c r="AY148" s="99"/>
      <c r="AZ148" s="99"/>
      <c r="BA148" s="99"/>
      <c r="BB148" s="99"/>
      <c r="BC148" s="99"/>
      <c r="BD148" s="99"/>
      <c r="BE148" s="99"/>
      <c r="BF148" s="99"/>
      <c r="BG148" s="99"/>
      <c r="BH148" s="99"/>
      <c r="BI148" s="99"/>
      <c r="BJ148" s="99"/>
      <c r="BK148" s="99"/>
      <c r="BL148" s="99"/>
      <c r="BM148" s="99"/>
      <c r="BN148" s="99"/>
      <c r="BO148" s="99"/>
      <c r="BP148" s="99"/>
      <c r="BQ148" s="99"/>
      <c r="BR148" s="99"/>
      <c r="BS148" s="99"/>
      <c r="BT148" s="99"/>
      <c r="BU148" s="99"/>
      <c r="BV148" s="99"/>
      <c r="BW148" s="99"/>
      <c r="BX148" s="99"/>
      <c r="BY148" s="99"/>
      <c r="BZ148" s="99"/>
      <c r="CA148" s="99"/>
      <c r="CB148" s="99"/>
      <c r="CC148" s="99"/>
      <c r="CD148" s="99"/>
      <c r="CE148" s="99"/>
      <c r="CF148" s="99"/>
      <c r="CG148" s="99"/>
      <c r="CH148" s="99"/>
      <c r="CI148" s="99"/>
      <c r="CJ148" s="99"/>
      <c r="CK148" s="99"/>
      <c r="CL148" s="99"/>
      <c r="CM148" s="99"/>
      <c r="CN148" s="99"/>
      <c r="CO148" s="99"/>
      <c r="CP148" s="99"/>
      <c r="CQ148" s="99"/>
      <c r="CR148" s="99"/>
      <c r="CS148" s="99"/>
      <c r="CT148" s="99"/>
      <c r="CU148" s="99"/>
      <c r="CV148" s="99"/>
      <c r="CW148" s="99"/>
      <c r="CX148" s="99"/>
      <c r="CY148" s="99"/>
      <c r="CZ148" s="99"/>
      <c r="DA148" s="99"/>
      <c r="DB148" s="99"/>
      <c r="DC148" s="99"/>
      <c r="DD148" s="99"/>
      <c r="DE148" s="99"/>
      <c r="DF148" s="99"/>
      <c r="DG148" s="99"/>
      <c r="DH148" s="99"/>
      <c r="DI148" s="99"/>
      <c r="DJ148" s="99"/>
      <c r="DK148" s="99"/>
      <c r="DL148" s="99"/>
      <c r="DM148" s="99"/>
      <c r="DN148" s="99"/>
      <c r="DO148" s="99"/>
      <c r="DP148" s="99"/>
      <c r="DQ148" s="99"/>
      <c r="DR148" s="99"/>
      <c r="DS148" s="99"/>
      <c r="DT148" s="99"/>
      <c r="DU148" s="99"/>
      <c r="DV148" s="99"/>
      <c r="DW148" s="99"/>
      <c r="DX148" s="99"/>
      <c r="DY148" s="99"/>
      <c r="DZ148" s="99"/>
      <c r="EA148" s="99"/>
      <c r="EB148" s="99"/>
      <c r="EC148" s="99"/>
      <c r="ED148" s="99"/>
      <c r="EE148" s="99"/>
      <c r="EF148" s="99"/>
      <c r="EG148" s="99"/>
      <c r="EH148" s="99"/>
      <c r="EI148" s="99"/>
      <c r="EJ148" s="99"/>
      <c r="EK148" s="99"/>
      <c r="EL148" s="99"/>
      <c r="EM148" s="99"/>
      <c r="EN148" s="99"/>
      <c r="EO148" s="99"/>
      <c r="EP148" s="99"/>
      <c r="EQ148" s="99"/>
      <c r="ER148" s="99"/>
      <c r="ES148" s="99"/>
      <c r="ET148" s="99"/>
      <c r="EU148" s="99"/>
      <c r="EV148" s="99"/>
      <c r="EW148" s="99"/>
      <c r="EX148" s="99"/>
      <c r="EY148" s="99"/>
      <c r="EZ148" s="99"/>
      <c r="FA148" s="99"/>
      <c r="FB148" s="99"/>
      <c r="FC148" s="99"/>
      <c r="FD148" s="99"/>
      <c r="FE148" s="99"/>
      <c r="FF148" s="99"/>
      <c r="FG148" s="99"/>
      <c r="FH148" s="99"/>
      <c r="FI148" s="99"/>
      <c r="FJ148" s="99"/>
      <c r="FK148" s="99"/>
      <c r="FL148" s="99"/>
      <c r="FM148" s="99"/>
      <c r="FN148" s="99"/>
      <c r="FO148" s="99"/>
      <c r="FP148" s="99"/>
      <c r="FQ148" s="99"/>
      <c r="FR148" s="99"/>
      <c r="FS148" s="99"/>
      <c r="FT148" s="99"/>
      <c r="FU148" s="99"/>
      <c r="FV148" s="99"/>
      <c r="FW148" s="99"/>
      <c r="FX148" s="99"/>
      <c r="FY148" s="99"/>
      <c r="FZ148" s="99"/>
      <c r="GA148" s="99"/>
      <c r="GB148" s="99"/>
      <c r="GC148" s="99"/>
      <c r="GD148" s="99"/>
      <c r="GE148" s="99"/>
      <c r="GF148" s="99"/>
      <c r="GG148" s="99"/>
      <c r="GH148" s="99"/>
      <c r="GI148" s="99"/>
      <c r="GJ148" s="99"/>
      <c r="GK148" s="99"/>
      <c r="GL148" s="99"/>
      <c r="GM148" s="99"/>
      <c r="GN148" s="99"/>
      <c r="GO148" s="99"/>
      <c r="GP148" s="99"/>
      <c r="GQ148" s="99"/>
      <c r="GR148" s="99"/>
      <c r="GS148" s="99"/>
      <c r="GT148" s="99"/>
      <c r="GU148" s="99"/>
      <c r="GV148" s="99"/>
      <c r="GW148" s="99"/>
      <c r="GX148" s="99"/>
      <c r="GY148" s="99"/>
      <c r="GZ148" s="99"/>
      <c r="HA148" s="99"/>
      <c r="HB148" s="99"/>
      <c r="HC148" s="99"/>
      <c r="HD148" s="99"/>
      <c r="HE148" s="99"/>
      <c r="HF148" s="99"/>
      <c r="HG148" s="99"/>
      <c r="HH148" s="99"/>
      <c r="HI148" s="99"/>
      <c r="HJ148" s="99"/>
      <c r="HK148" s="99"/>
      <c r="HL148" s="99"/>
      <c r="HM148" s="99"/>
      <c r="HN148" s="99"/>
      <c r="HO148" s="99"/>
      <c r="HP148" s="99"/>
      <c r="HQ148" s="99"/>
      <c r="HR148" s="99"/>
      <c r="HS148" s="99"/>
      <c r="HT148" s="99"/>
      <c r="HU148" s="99"/>
      <c r="HV148" s="99"/>
      <c r="HW148" s="99"/>
      <c r="HX148" s="99"/>
      <c r="HY148" s="99"/>
      <c r="HZ148" s="99"/>
      <c r="IA148" s="99"/>
      <c r="IB148" s="99"/>
      <c r="IC148" s="99"/>
      <c r="ID148" s="99"/>
      <c r="IE148" s="99"/>
      <c r="IF148" s="99"/>
      <c r="IG148" s="99"/>
      <c r="IH148" s="99"/>
      <c r="II148" s="99"/>
      <c r="IJ148" s="99"/>
      <c r="IK148" s="99"/>
      <c r="IL148" s="99"/>
      <c r="IM148" s="99"/>
      <c r="IN148" s="99"/>
      <c r="IO148" s="99"/>
      <c r="IP148" s="99"/>
      <c r="IQ148" s="99"/>
      <c r="IR148" s="99"/>
      <c r="IS148" s="99"/>
      <c r="IT148" s="99"/>
    </row>
    <row r="149" spans="1:254" s="171" customFormat="1" ht="14.1" customHeight="1" x14ac:dyDescent="0.2">
      <c r="A149" s="169">
        <v>44329</v>
      </c>
      <c r="B149" s="170" t="s">
        <v>276</v>
      </c>
      <c r="C149" s="101" t="s">
        <v>66</v>
      </c>
      <c r="D149" s="99"/>
      <c r="E149" s="99">
        <f t="shared" ref="E149:E164" si="32">+D149</f>
        <v>0</v>
      </c>
      <c r="F149" s="99">
        <v>450704.53</v>
      </c>
      <c r="G149" s="99">
        <f t="shared" si="30"/>
        <v>0</v>
      </c>
      <c r="H149" s="99">
        <f t="shared" si="31"/>
        <v>0</v>
      </c>
      <c r="I149" s="99"/>
      <c r="J149" s="125" t="s">
        <v>227</v>
      </c>
      <c r="K149" s="126">
        <v>6811</v>
      </c>
      <c r="L149" s="99"/>
      <c r="M149" s="99"/>
      <c r="N149" s="99"/>
      <c r="O149" s="99"/>
      <c r="P149" s="99"/>
      <c r="Q149" s="99"/>
      <c r="R149" s="99"/>
      <c r="S149" s="99"/>
      <c r="T149" s="99"/>
      <c r="U149" s="99"/>
      <c r="V149" s="99"/>
      <c r="W149" s="99"/>
      <c r="X149" s="99"/>
      <c r="Y149" s="99"/>
      <c r="Z149" s="99"/>
      <c r="AA149" s="99"/>
      <c r="AB149" s="99"/>
      <c r="AC149" s="99"/>
      <c r="AD149" s="99"/>
      <c r="AE149" s="99"/>
      <c r="AF149" s="99"/>
      <c r="AG149" s="99"/>
      <c r="AH149" s="99"/>
      <c r="AI149" s="99"/>
      <c r="AJ149" s="99"/>
      <c r="AK149" s="99"/>
      <c r="AL149" s="99"/>
      <c r="AM149" s="99"/>
      <c r="AN149" s="99"/>
      <c r="AO149" s="99"/>
      <c r="AP149" s="99"/>
      <c r="AQ149" s="99"/>
      <c r="AR149" s="99"/>
      <c r="AS149" s="99"/>
      <c r="AT149" s="99"/>
      <c r="AU149" s="99"/>
      <c r="AV149" s="99"/>
      <c r="AW149" s="99"/>
      <c r="AX149" s="99"/>
      <c r="AY149" s="99"/>
      <c r="AZ149" s="99"/>
      <c r="BA149" s="99"/>
      <c r="BB149" s="99"/>
      <c r="BC149" s="99"/>
      <c r="BD149" s="99"/>
      <c r="BE149" s="99"/>
      <c r="BF149" s="99"/>
      <c r="BG149" s="99"/>
      <c r="BH149" s="99"/>
      <c r="BI149" s="99"/>
      <c r="BJ149" s="99"/>
      <c r="BK149" s="99"/>
      <c r="BL149" s="99"/>
      <c r="BM149" s="99"/>
      <c r="BN149" s="99"/>
      <c r="BO149" s="99"/>
      <c r="BP149" s="99"/>
      <c r="BQ149" s="99"/>
      <c r="BR149" s="99"/>
      <c r="BS149" s="99"/>
      <c r="BT149" s="99"/>
      <c r="BU149" s="99"/>
      <c r="BV149" s="99"/>
      <c r="BW149" s="99"/>
      <c r="BX149" s="99"/>
      <c r="BY149" s="99"/>
      <c r="BZ149" s="99"/>
      <c r="CA149" s="99"/>
      <c r="CB149" s="99"/>
      <c r="CC149" s="99"/>
      <c r="CD149" s="99"/>
      <c r="CE149" s="99"/>
      <c r="CF149" s="99"/>
      <c r="CG149" s="99"/>
      <c r="CH149" s="99"/>
      <c r="CI149" s="99"/>
      <c r="CJ149" s="99"/>
      <c r="CK149" s="99"/>
      <c r="CL149" s="99"/>
      <c r="CM149" s="99"/>
      <c r="CN149" s="99"/>
      <c r="CO149" s="99"/>
      <c r="CP149" s="99"/>
      <c r="CQ149" s="99"/>
      <c r="CR149" s="99"/>
      <c r="CS149" s="99"/>
      <c r="CT149" s="99"/>
      <c r="CU149" s="99"/>
      <c r="CV149" s="99"/>
      <c r="CW149" s="99"/>
      <c r="CX149" s="99"/>
      <c r="CY149" s="99"/>
      <c r="CZ149" s="99"/>
      <c r="DA149" s="99"/>
      <c r="DB149" s="99"/>
      <c r="DC149" s="99"/>
      <c r="DD149" s="99"/>
      <c r="DE149" s="99"/>
      <c r="DF149" s="99"/>
      <c r="DG149" s="99"/>
      <c r="DH149" s="99"/>
      <c r="DI149" s="99"/>
      <c r="DJ149" s="99"/>
      <c r="DK149" s="99"/>
      <c r="DL149" s="99"/>
      <c r="DM149" s="99"/>
      <c r="DN149" s="99"/>
      <c r="DO149" s="99"/>
      <c r="DP149" s="99"/>
      <c r="DQ149" s="99"/>
      <c r="DR149" s="99"/>
      <c r="DS149" s="99"/>
      <c r="DT149" s="99"/>
      <c r="DU149" s="99"/>
      <c r="DV149" s="99"/>
      <c r="DW149" s="99"/>
      <c r="DX149" s="99"/>
      <c r="DY149" s="99"/>
      <c r="DZ149" s="99"/>
      <c r="EA149" s="99"/>
      <c r="EB149" s="99"/>
      <c r="EC149" s="99"/>
      <c r="ED149" s="99"/>
      <c r="EE149" s="99"/>
      <c r="EF149" s="99"/>
      <c r="EG149" s="99"/>
      <c r="EH149" s="99"/>
      <c r="EI149" s="99"/>
      <c r="EJ149" s="99"/>
      <c r="EK149" s="99"/>
      <c r="EL149" s="99"/>
      <c r="EM149" s="99"/>
      <c r="EN149" s="99"/>
      <c r="EO149" s="99"/>
      <c r="EP149" s="99"/>
      <c r="EQ149" s="99"/>
      <c r="ER149" s="99"/>
      <c r="ES149" s="99"/>
      <c r="ET149" s="99"/>
      <c r="EU149" s="99"/>
      <c r="EV149" s="99"/>
      <c r="EW149" s="99"/>
      <c r="EX149" s="99"/>
      <c r="EY149" s="99"/>
      <c r="EZ149" s="99"/>
      <c r="FA149" s="99"/>
      <c r="FB149" s="99"/>
      <c r="FC149" s="99"/>
      <c r="FD149" s="99"/>
      <c r="FE149" s="99"/>
      <c r="FF149" s="99"/>
      <c r="FG149" s="99"/>
      <c r="FH149" s="99"/>
      <c r="FI149" s="99"/>
      <c r="FJ149" s="99"/>
      <c r="FK149" s="99"/>
      <c r="FL149" s="99"/>
      <c r="FM149" s="99"/>
      <c r="FN149" s="99"/>
      <c r="FO149" s="99"/>
      <c r="FP149" s="99"/>
      <c r="FQ149" s="99"/>
      <c r="FR149" s="99"/>
      <c r="FS149" s="99"/>
      <c r="FT149" s="99"/>
      <c r="FU149" s="99"/>
      <c r="FV149" s="99"/>
      <c r="FW149" s="99"/>
      <c r="FX149" s="99"/>
      <c r="FY149" s="99"/>
      <c r="FZ149" s="99"/>
      <c r="GA149" s="99"/>
      <c r="GB149" s="99"/>
      <c r="GC149" s="99"/>
      <c r="GD149" s="99"/>
      <c r="GE149" s="99"/>
      <c r="GF149" s="99"/>
      <c r="GG149" s="99"/>
      <c r="GH149" s="99"/>
      <c r="GI149" s="99"/>
      <c r="GJ149" s="99"/>
      <c r="GK149" s="99"/>
      <c r="GL149" s="99"/>
      <c r="GM149" s="99"/>
      <c r="GN149" s="99"/>
      <c r="GO149" s="99"/>
      <c r="GP149" s="99"/>
      <c r="GQ149" s="99"/>
      <c r="GR149" s="99"/>
      <c r="GS149" s="99"/>
      <c r="GT149" s="99"/>
      <c r="GU149" s="99"/>
      <c r="GV149" s="99"/>
      <c r="GW149" s="99"/>
      <c r="GX149" s="99"/>
      <c r="GY149" s="99"/>
      <c r="GZ149" s="99"/>
      <c r="HA149" s="99"/>
      <c r="HB149" s="99"/>
      <c r="HC149" s="99"/>
      <c r="HD149" s="99"/>
      <c r="HE149" s="99"/>
      <c r="HF149" s="99"/>
      <c r="HG149" s="99"/>
      <c r="HH149" s="99"/>
      <c r="HI149" s="99"/>
      <c r="HJ149" s="99"/>
      <c r="HK149" s="99"/>
      <c r="HL149" s="99"/>
      <c r="HM149" s="99"/>
      <c r="HN149" s="99"/>
      <c r="HO149" s="99"/>
      <c r="HP149" s="99"/>
      <c r="HQ149" s="99"/>
      <c r="HR149" s="99"/>
      <c r="HS149" s="99"/>
      <c r="HT149" s="99"/>
      <c r="HU149" s="99"/>
      <c r="HV149" s="99"/>
      <c r="HW149" s="99"/>
      <c r="HX149" s="99"/>
      <c r="HY149" s="99"/>
      <c r="HZ149" s="99"/>
      <c r="IA149" s="99"/>
      <c r="IB149" s="99"/>
      <c r="IC149" s="99"/>
      <c r="ID149" s="99"/>
      <c r="IE149" s="99"/>
      <c r="IF149" s="99"/>
      <c r="IG149" s="99"/>
      <c r="IH149" s="99"/>
      <c r="II149" s="99"/>
      <c r="IJ149" s="99"/>
      <c r="IK149" s="99"/>
      <c r="IL149" s="99"/>
      <c r="IM149" s="99"/>
      <c r="IN149" s="99"/>
      <c r="IO149" s="99"/>
      <c r="IP149" s="99"/>
      <c r="IQ149" s="99"/>
      <c r="IR149" s="99"/>
      <c r="IS149" s="99"/>
      <c r="IT149" s="99"/>
    </row>
    <row r="150" spans="1:254" s="12" customFormat="1" ht="14.1" customHeight="1" x14ac:dyDescent="0.2">
      <c r="A150" s="7">
        <v>44335</v>
      </c>
      <c r="B150" s="95" t="s">
        <v>278</v>
      </c>
      <c r="C150" s="96" t="s">
        <v>41</v>
      </c>
      <c r="D150" s="10"/>
      <c r="E150" s="10">
        <f t="shared" si="32"/>
        <v>0</v>
      </c>
      <c r="F150" s="99"/>
      <c r="G150" s="10">
        <f t="shared" si="30"/>
        <v>0</v>
      </c>
      <c r="H150" s="10">
        <f t="shared" si="31"/>
        <v>0</v>
      </c>
      <c r="I150" s="10"/>
      <c r="J150" s="38"/>
      <c r="K150" s="11"/>
      <c r="L150" s="131">
        <v>456603.4</v>
      </c>
      <c r="M150" s="10">
        <f>1751.85*M160</f>
        <v>1619.982574506</v>
      </c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>
        <v>44329</v>
      </c>
      <c r="B151" s="8" t="s">
        <v>277</v>
      </c>
      <c r="C151" s="96" t="s">
        <v>66</v>
      </c>
      <c r="D151" s="10"/>
      <c r="E151" s="10">
        <f t="shared" si="32"/>
        <v>0</v>
      </c>
      <c r="F151" s="99">
        <f>110+110</f>
        <v>220</v>
      </c>
      <c r="G151" s="10">
        <f t="shared" si="30"/>
        <v>220</v>
      </c>
      <c r="H151" s="10">
        <f t="shared" si="31"/>
        <v>0</v>
      </c>
      <c r="I151" s="10"/>
      <c r="J151" s="38"/>
      <c r="K151" s="11">
        <v>6861</v>
      </c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>
        <v>44335</v>
      </c>
      <c r="B152" s="8" t="s">
        <v>279</v>
      </c>
      <c r="C152" s="96" t="s">
        <v>66</v>
      </c>
      <c r="D152" s="10"/>
      <c r="E152" s="10">
        <f t="shared" si="32"/>
        <v>0</v>
      </c>
      <c r="F152" s="99">
        <v>3246</v>
      </c>
      <c r="G152" s="10">
        <f t="shared" si="30"/>
        <v>0</v>
      </c>
      <c r="H152" s="10">
        <f t="shared" si="31"/>
        <v>0</v>
      </c>
      <c r="I152" s="10"/>
      <c r="J152" s="38" t="s">
        <v>224</v>
      </c>
      <c r="K152" s="11">
        <v>6873</v>
      </c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>
        <v>44336</v>
      </c>
      <c r="B153" s="8" t="s">
        <v>280</v>
      </c>
      <c r="C153" s="96" t="s">
        <v>66</v>
      </c>
      <c r="D153" s="10"/>
      <c r="E153" s="10">
        <f t="shared" si="32"/>
        <v>0</v>
      </c>
      <c r="F153" s="99">
        <v>7497.4</v>
      </c>
      <c r="G153" s="10">
        <f t="shared" si="30"/>
        <v>0</v>
      </c>
      <c r="H153" s="10">
        <f t="shared" si="31"/>
        <v>0</v>
      </c>
      <c r="I153" s="10"/>
      <c r="J153" s="38" t="s">
        <v>92</v>
      </c>
      <c r="K153" s="11">
        <v>6861</v>
      </c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>
        <v>44337</v>
      </c>
      <c r="B154" s="95" t="s">
        <v>281</v>
      </c>
      <c r="C154" s="96" t="s">
        <v>41</v>
      </c>
      <c r="D154" s="10"/>
      <c r="E154" s="10">
        <f t="shared" si="32"/>
        <v>0</v>
      </c>
      <c r="F154" s="99"/>
      <c r="G154" s="10">
        <f t="shared" si="30"/>
        <v>0</v>
      </c>
      <c r="H154" s="10">
        <f t="shared" si="31"/>
        <v>0</v>
      </c>
      <c r="I154" s="10">
        <v>22696.82</v>
      </c>
      <c r="J154" s="38"/>
      <c r="K154" s="11">
        <v>4760</v>
      </c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>
        <v>44340</v>
      </c>
      <c r="B155" s="8" t="s">
        <v>282</v>
      </c>
      <c r="C155" s="96" t="s">
        <v>66</v>
      </c>
      <c r="D155" s="10"/>
      <c r="E155" s="10">
        <f t="shared" si="32"/>
        <v>0</v>
      </c>
      <c r="F155" s="99">
        <v>34984.65</v>
      </c>
      <c r="G155" s="10">
        <f t="shared" si="30"/>
        <v>0</v>
      </c>
      <c r="H155" s="10">
        <f t="shared" si="31"/>
        <v>0</v>
      </c>
      <c r="I155" s="10"/>
      <c r="J155" s="38" t="s">
        <v>55</v>
      </c>
      <c r="K155" s="11">
        <v>6811</v>
      </c>
      <c r="L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>
        <v>44343</v>
      </c>
      <c r="B156" s="12" t="s">
        <v>283</v>
      </c>
      <c r="C156" s="96" t="s">
        <v>66</v>
      </c>
      <c r="D156" s="10"/>
      <c r="E156" s="10">
        <f t="shared" si="32"/>
        <v>0</v>
      </c>
      <c r="F156" s="99">
        <v>2340</v>
      </c>
      <c r="G156" s="10">
        <f t="shared" si="30"/>
        <v>0</v>
      </c>
      <c r="H156" s="10">
        <f t="shared" si="31"/>
        <v>0</v>
      </c>
      <c r="I156" s="10"/>
      <c r="J156" s="38" t="s">
        <v>47</v>
      </c>
      <c r="K156" s="11">
        <v>6849</v>
      </c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>
        <v>44351</v>
      </c>
      <c r="B157" s="12" t="s">
        <v>284</v>
      </c>
      <c r="C157" s="96" t="s">
        <v>117</v>
      </c>
      <c r="D157" s="10"/>
      <c r="E157" s="10">
        <f t="shared" si="32"/>
        <v>0</v>
      </c>
      <c r="F157" s="99">
        <v>509.72</v>
      </c>
      <c r="G157" s="10">
        <f t="shared" si="30"/>
        <v>0</v>
      </c>
      <c r="H157" s="10">
        <f t="shared" si="31"/>
        <v>0</v>
      </c>
      <c r="I157" s="10"/>
      <c r="J157" s="38" t="s">
        <v>62</v>
      </c>
      <c r="K157" s="11">
        <v>6849</v>
      </c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>
        <v>44354</v>
      </c>
      <c r="B158" s="8" t="s">
        <v>285</v>
      </c>
      <c r="C158" s="96" t="s">
        <v>117</v>
      </c>
      <c r="D158" s="10"/>
      <c r="E158" s="10">
        <f t="shared" si="32"/>
        <v>0</v>
      </c>
      <c r="F158" s="99">
        <v>8</v>
      </c>
      <c r="G158" s="10">
        <f t="shared" si="30"/>
        <v>8</v>
      </c>
      <c r="H158" s="10">
        <f t="shared" si="31"/>
        <v>0</v>
      </c>
      <c r="I158" s="10"/>
      <c r="J158" s="38"/>
      <c r="K158" s="11">
        <v>6879</v>
      </c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>
        <v>44357</v>
      </c>
      <c r="B159" s="8" t="s">
        <v>286</v>
      </c>
      <c r="C159" s="96" t="s">
        <v>117</v>
      </c>
      <c r="D159" s="10"/>
      <c r="E159" s="10">
        <f t="shared" si="32"/>
        <v>0</v>
      </c>
      <c r="F159" s="99">
        <v>19132.849999999999</v>
      </c>
      <c r="G159" s="10">
        <f t="shared" si="30"/>
        <v>0</v>
      </c>
      <c r="H159" s="10">
        <f t="shared" si="31"/>
        <v>0</v>
      </c>
      <c r="I159" s="10"/>
      <c r="J159" s="38" t="s">
        <v>224</v>
      </c>
      <c r="K159" s="11">
        <v>6873</v>
      </c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>
        <v>44361</v>
      </c>
      <c r="B160" s="95" t="s">
        <v>287</v>
      </c>
      <c r="C160" s="96" t="s">
        <v>41</v>
      </c>
      <c r="D160" s="10"/>
      <c r="E160" s="10">
        <f t="shared" si="32"/>
        <v>0</v>
      </c>
      <c r="F160" s="99"/>
      <c r="G160" s="10">
        <f t="shared" si="30"/>
        <v>0</v>
      </c>
      <c r="H160" s="10">
        <f t="shared" si="31"/>
        <v>0</v>
      </c>
      <c r="I160" s="10"/>
      <c r="J160" s="38"/>
      <c r="K160" s="11"/>
      <c r="L160" s="131">
        <v>62824.66</v>
      </c>
      <c r="M160" s="10">
        <v>0.92472675999999998</v>
      </c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>
        <v>44361</v>
      </c>
      <c r="B161" s="8" t="s">
        <v>288</v>
      </c>
      <c r="C161" s="96" t="s">
        <v>117</v>
      </c>
      <c r="D161" s="10"/>
      <c r="E161" s="10">
        <f t="shared" si="32"/>
        <v>0</v>
      </c>
      <c r="F161" s="99">
        <v>40730.9</v>
      </c>
      <c r="G161" s="10">
        <f t="shared" ref="G161:G176" si="33">IF(J161&gt;0,0,F161)</f>
        <v>0</v>
      </c>
      <c r="H161" s="10">
        <f t="shared" ref="H161:H176" si="34">+D161</f>
        <v>0</v>
      </c>
      <c r="I161" s="10"/>
      <c r="J161" s="38" t="s">
        <v>92</v>
      </c>
      <c r="K161" s="11">
        <v>6861</v>
      </c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>
        <v>44362</v>
      </c>
      <c r="B162" s="130" t="s">
        <v>289</v>
      </c>
      <c r="C162" s="96" t="s">
        <v>117</v>
      </c>
      <c r="D162" s="10"/>
      <c r="E162" s="10">
        <f t="shared" si="32"/>
        <v>0</v>
      </c>
      <c r="F162" s="99">
        <v>24336</v>
      </c>
      <c r="G162" s="10">
        <f t="shared" si="33"/>
        <v>0</v>
      </c>
      <c r="H162" s="10">
        <f t="shared" si="34"/>
        <v>0</v>
      </c>
      <c r="I162" s="10"/>
      <c r="J162" s="38" t="s">
        <v>227</v>
      </c>
      <c r="K162" s="11">
        <v>6811</v>
      </c>
      <c r="L162" s="10"/>
      <c r="M162" s="131" t="s">
        <v>306</v>
      </c>
      <c r="N162" s="131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>
        <v>44362</v>
      </c>
      <c r="B163" s="8" t="s">
        <v>290</v>
      </c>
      <c r="C163" s="96" t="s">
        <v>117</v>
      </c>
      <c r="D163" s="10"/>
      <c r="E163" s="10">
        <f t="shared" si="32"/>
        <v>0</v>
      </c>
      <c r="F163" s="99">
        <v>462322.95</v>
      </c>
      <c r="G163" s="10">
        <f t="shared" si="33"/>
        <v>0</v>
      </c>
      <c r="H163" s="10">
        <f t="shared" si="34"/>
        <v>0</v>
      </c>
      <c r="I163" s="10"/>
      <c r="J163" s="38" t="s">
        <v>227</v>
      </c>
      <c r="K163" s="11">
        <v>6811</v>
      </c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>
        <v>44376</v>
      </c>
      <c r="B164" s="8" t="s">
        <v>291</v>
      </c>
      <c r="C164" s="96" t="s">
        <v>117</v>
      </c>
      <c r="D164" s="10"/>
      <c r="E164" s="10">
        <f t="shared" si="32"/>
        <v>0</v>
      </c>
      <c r="F164" s="99">
        <v>8</v>
      </c>
      <c r="G164" s="10">
        <f t="shared" si="33"/>
        <v>8</v>
      </c>
      <c r="H164" s="10">
        <f t="shared" si="34"/>
        <v>0</v>
      </c>
      <c r="I164" s="10"/>
      <c r="J164" s="38"/>
      <c r="K164" s="11">
        <v>6879</v>
      </c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>
        <v>44376</v>
      </c>
      <c r="B165" s="8" t="s">
        <v>292</v>
      </c>
      <c r="C165" s="96" t="s">
        <v>117</v>
      </c>
      <c r="D165" s="10"/>
      <c r="E165" s="10">
        <f t="shared" ref="E165:E181" si="35">+D165</f>
        <v>0</v>
      </c>
      <c r="F165" s="99">
        <v>14598</v>
      </c>
      <c r="G165" s="10">
        <f t="shared" si="33"/>
        <v>0</v>
      </c>
      <c r="H165" s="10">
        <f t="shared" si="34"/>
        <v>0</v>
      </c>
      <c r="I165" s="10"/>
      <c r="J165" s="38" t="s">
        <v>55</v>
      </c>
      <c r="K165" s="11">
        <v>6811</v>
      </c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>
        <v>44377</v>
      </c>
      <c r="B166" s="8" t="s">
        <v>293</v>
      </c>
      <c r="C166" s="96" t="s">
        <v>117</v>
      </c>
      <c r="D166" s="10"/>
      <c r="E166" s="10">
        <f t="shared" si="35"/>
        <v>0</v>
      </c>
      <c r="F166" s="99">
        <v>39576</v>
      </c>
      <c r="G166" s="10">
        <f t="shared" si="33"/>
        <v>0</v>
      </c>
      <c r="H166" s="10">
        <f t="shared" si="34"/>
        <v>0</v>
      </c>
      <c r="I166" s="10"/>
      <c r="J166" s="38" t="s">
        <v>227</v>
      </c>
      <c r="K166" s="11">
        <v>6811</v>
      </c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>
        <v>44377</v>
      </c>
      <c r="B167" s="130" t="s">
        <v>294</v>
      </c>
      <c r="C167" s="96" t="s">
        <v>117</v>
      </c>
      <c r="D167" s="10"/>
      <c r="E167" s="10">
        <f t="shared" si="35"/>
        <v>0</v>
      </c>
      <c r="F167" s="99">
        <v>745649.09</v>
      </c>
      <c r="G167" s="10">
        <f t="shared" si="33"/>
        <v>0</v>
      </c>
      <c r="H167" s="10">
        <f t="shared" si="34"/>
        <v>0</v>
      </c>
      <c r="I167" s="10"/>
      <c r="J167" s="38" t="s">
        <v>227</v>
      </c>
      <c r="K167" s="11">
        <v>6811</v>
      </c>
      <c r="L167" s="10"/>
      <c r="M167" s="131" t="s">
        <v>306</v>
      </c>
      <c r="N167" s="131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>
        <v>44377</v>
      </c>
      <c r="B168" s="8" t="s">
        <v>295</v>
      </c>
      <c r="C168" s="96" t="s">
        <v>117</v>
      </c>
      <c r="D168" s="10"/>
      <c r="E168" s="10">
        <f t="shared" si="35"/>
        <v>0</v>
      </c>
      <c r="F168" s="99">
        <v>35183</v>
      </c>
      <c r="G168" s="10">
        <f t="shared" si="33"/>
        <v>0</v>
      </c>
      <c r="H168" s="10">
        <f t="shared" si="34"/>
        <v>0</v>
      </c>
      <c r="I168" s="10"/>
      <c r="J168" s="38" t="s">
        <v>227</v>
      </c>
      <c r="K168" s="11">
        <v>6811</v>
      </c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>
        <v>44377</v>
      </c>
      <c r="B169" s="8" t="s">
        <v>296</v>
      </c>
      <c r="C169" s="96" t="s">
        <v>117</v>
      </c>
      <c r="D169" s="10"/>
      <c r="E169" s="10">
        <f t="shared" si="35"/>
        <v>0</v>
      </c>
      <c r="F169" s="99">
        <v>668449.42000000004</v>
      </c>
      <c r="G169" s="10">
        <f t="shared" si="33"/>
        <v>0</v>
      </c>
      <c r="H169" s="10">
        <f t="shared" si="34"/>
        <v>0</v>
      </c>
      <c r="I169" s="10"/>
      <c r="J169" s="38" t="s">
        <v>227</v>
      </c>
      <c r="K169" s="11">
        <v>6811</v>
      </c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>
        <v>44377</v>
      </c>
      <c r="B170" s="8" t="s">
        <v>297</v>
      </c>
      <c r="C170" s="96" t="s">
        <v>117</v>
      </c>
      <c r="D170" s="10"/>
      <c r="E170" s="10">
        <f t="shared" si="35"/>
        <v>0</v>
      </c>
      <c r="F170" s="99">
        <v>37685</v>
      </c>
      <c r="G170" s="10">
        <f t="shared" si="33"/>
        <v>0</v>
      </c>
      <c r="H170" s="10">
        <f t="shared" si="34"/>
        <v>0</v>
      </c>
      <c r="I170" s="10"/>
      <c r="J170" s="38" t="s">
        <v>227</v>
      </c>
      <c r="K170" s="11">
        <v>6811</v>
      </c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>
        <v>44377</v>
      </c>
      <c r="B171" s="130" t="s">
        <v>298</v>
      </c>
      <c r="C171" s="96" t="s">
        <v>308</v>
      </c>
      <c r="D171" s="10"/>
      <c r="E171" s="10">
        <f t="shared" si="35"/>
        <v>0</v>
      </c>
      <c r="F171" s="99">
        <v>715896.39</v>
      </c>
      <c r="G171" s="10">
        <f t="shared" si="33"/>
        <v>0</v>
      </c>
      <c r="H171" s="10">
        <f t="shared" si="34"/>
        <v>0</v>
      </c>
      <c r="I171" s="10"/>
      <c r="J171" s="38" t="s">
        <v>227</v>
      </c>
      <c r="K171" s="11">
        <v>6811</v>
      </c>
      <c r="L171" s="10"/>
      <c r="M171" s="131" t="s">
        <v>306</v>
      </c>
      <c r="N171" s="131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>
        <v>44377</v>
      </c>
      <c r="B172" s="8" t="s">
        <v>299</v>
      </c>
      <c r="C172" s="96" t="s">
        <v>117</v>
      </c>
      <c r="D172" s="10"/>
      <c r="E172" s="10">
        <f t="shared" si="35"/>
        <v>0</v>
      </c>
      <c r="F172" s="99">
        <v>38865</v>
      </c>
      <c r="G172" s="10">
        <f t="shared" si="33"/>
        <v>0</v>
      </c>
      <c r="H172" s="10">
        <f t="shared" si="34"/>
        <v>0</v>
      </c>
      <c r="I172" s="10"/>
      <c r="J172" s="38" t="s">
        <v>227</v>
      </c>
      <c r="K172" s="11">
        <v>6811</v>
      </c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>
        <v>44377</v>
      </c>
      <c r="B173" s="8" t="s">
        <v>300</v>
      </c>
      <c r="C173" s="96" t="s">
        <v>117</v>
      </c>
      <c r="D173" s="10"/>
      <c r="E173" s="10">
        <f t="shared" si="35"/>
        <v>0</v>
      </c>
      <c r="F173" s="99">
        <v>738345.45</v>
      </c>
      <c r="G173" s="10">
        <f t="shared" si="33"/>
        <v>0</v>
      </c>
      <c r="H173" s="10">
        <f t="shared" si="34"/>
        <v>0</v>
      </c>
      <c r="I173" s="10"/>
      <c r="J173" s="38" t="s">
        <v>227</v>
      </c>
      <c r="K173" s="11">
        <v>6811</v>
      </c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 t="s">
        <v>301</v>
      </c>
      <c r="B174" s="12" t="s">
        <v>302</v>
      </c>
      <c r="C174" s="96" t="s">
        <v>117</v>
      </c>
      <c r="D174" s="10"/>
      <c r="E174" s="10">
        <f t="shared" si="35"/>
        <v>0</v>
      </c>
      <c r="F174" s="99">
        <v>12526.6</v>
      </c>
      <c r="G174" s="10">
        <f t="shared" si="33"/>
        <v>0</v>
      </c>
      <c r="H174" s="10">
        <f t="shared" si="34"/>
        <v>0</v>
      </c>
      <c r="I174" s="10"/>
      <c r="J174" s="38" t="s">
        <v>92</v>
      </c>
      <c r="K174" s="11">
        <v>6861</v>
      </c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>
        <v>44370</v>
      </c>
      <c r="B175" s="95" t="s">
        <v>303</v>
      </c>
      <c r="C175" s="96" t="s">
        <v>41</v>
      </c>
      <c r="D175" s="10"/>
      <c r="E175" s="10">
        <f t="shared" si="35"/>
        <v>0</v>
      </c>
      <c r="F175" s="99"/>
      <c r="G175" s="10">
        <f t="shared" si="33"/>
        <v>0</v>
      </c>
      <c r="H175" s="10">
        <f t="shared" si="34"/>
        <v>0</v>
      </c>
      <c r="I175" s="10">
        <v>456603.4</v>
      </c>
      <c r="J175" s="38"/>
      <c r="K175" s="11">
        <v>4760</v>
      </c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>
        <v>44377</v>
      </c>
      <c r="B176" s="95" t="s">
        <v>304</v>
      </c>
      <c r="C176" s="96" t="s">
        <v>41</v>
      </c>
      <c r="D176" s="10"/>
      <c r="E176" s="10">
        <f t="shared" si="35"/>
        <v>0</v>
      </c>
      <c r="F176" s="99"/>
      <c r="G176" s="10">
        <f t="shared" si="33"/>
        <v>0</v>
      </c>
      <c r="H176" s="10">
        <f t="shared" si="34"/>
        <v>0</v>
      </c>
      <c r="I176" s="10">
        <v>62824.66</v>
      </c>
      <c r="J176" s="38"/>
      <c r="K176" s="11">
        <v>4760</v>
      </c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 t="s">
        <v>301</v>
      </c>
      <c r="B177" s="8" t="s">
        <v>305</v>
      </c>
      <c r="C177" s="96" t="s">
        <v>117</v>
      </c>
      <c r="D177" s="10"/>
      <c r="E177" s="10">
        <f t="shared" si="35"/>
        <v>0</v>
      </c>
      <c r="F177" s="99">
        <v>3435</v>
      </c>
      <c r="G177" s="10">
        <f t="shared" ref="G177:G192" si="36">IF(J177&gt;0,0,F177)</f>
        <v>0</v>
      </c>
      <c r="H177" s="10">
        <f t="shared" ref="H177:H193" si="37">+D177</f>
        <v>0</v>
      </c>
      <c r="I177" s="10"/>
      <c r="J177" s="38" t="s">
        <v>47</v>
      </c>
      <c r="K177" s="11">
        <v>6849</v>
      </c>
      <c r="L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 t="s">
        <v>301</v>
      </c>
      <c r="B178" s="132" t="s">
        <v>333</v>
      </c>
      <c r="C178" s="96" t="s">
        <v>41</v>
      </c>
      <c r="D178" s="10"/>
      <c r="E178" s="10">
        <f t="shared" si="35"/>
        <v>0</v>
      </c>
      <c r="F178" s="99"/>
      <c r="G178" s="10">
        <f t="shared" si="36"/>
        <v>0</v>
      </c>
      <c r="H178" s="10">
        <f t="shared" si="37"/>
        <v>0</v>
      </c>
      <c r="I178" s="10"/>
      <c r="J178" s="38"/>
      <c r="K178" s="11"/>
      <c r="L178" s="131">
        <v>3308308.93</v>
      </c>
      <c r="M178" s="131" t="s">
        <v>307</v>
      </c>
      <c r="N178" s="131"/>
      <c r="O178" s="131"/>
      <c r="P178" s="10">
        <f>3577606.8*P85</f>
        <v>3316981.2407048526</v>
      </c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5">
      <c r="A179" s="7" t="s">
        <v>301</v>
      </c>
      <c r="B179" s="168" t="s">
        <v>521</v>
      </c>
      <c r="C179" s="96" t="s">
        <v>117</v>
      </c>
      <c r="D179" s="10"/>
      <c r="E179" s="10">
        <f t="shared" ref="E179" si="38">+D179</f>
        <v>0</v>
      </c>
      <c r="F179" s="99">
        <v>-64319</v>
      </c>
      <c r="G179" s="10">
        <v>0</v>
      </c>
      <c r="H179" s="10">
        <f t="shared" ref="H179" si="39">+D179</f>
        <v>0</v>
      </c>
      <c r="I179" s="10"/>
      <c r="J179" s="38" t="s">
        <v>55</v>
      </c>
      <c r="K179" s="11">
        <v>6811</v>
      </c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 t="s">
        <v>301</v>
      </c>
      <c r="B180" s="12" t="s">
        <v>335</v>
      </c>
      <c r="C180" s="96" t="s">
        <v>117</v>
      </c>
      <c r="D180" s="10"/>
      <c r="E180" s="10">
        <f t="shared" si="35"/>
        <v>0</v>
      </c>
      <c r="F180" s="99">
        <v>435128.5</v>
      </c>
      <c r="G180" s="10">
        <v>0</v>
      </c>
      <c r="H180" s="10">
        <f t="shared" si="37"/>
        <v>0</v>
      </c>
      <c r="I180" s="10"/>
      <c r="J180" s="38" t="s">
        <v>55</v>
      </c>
      <c r="K180" s="11">
        <v>6811</v>
      </c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 t="s">
        <v>301</v>
      </c>
      <c r="B181" s="8" t="s">
        <v>336</v>
      </c>
      <c r="C181" s="96" t="s">
        <v>117</v>
      </c>
      <c r="D181" s="10"/>
      <c r="E181" s="10">
        <f t="shared" si="35"/>
        <v>0</v>
      </c>
      <c r="F181" s="99">
        <v>4396.05</v>
      </c>
      <c r="G181" s="10">
        <f t="shared" si="36"/>
        <v>0</v>
      </c>
      <c r="H181" s="10">
        <f t="shared" si="37"/>
        <v>0</v>
      </c>
      <c r="I181" s="10"/>
      <c r="J181" s="38" t="s">
        <v>224</v>
      </c>
      <c r="K181" s="11">
        <v>6873</v>
      </c>
      <c r="L181" s="10"/>
      <c r="M181" s="10">
        <v>0.98918600000000001</v>
      </c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 t="s">
        <v>301</v>
      </c>
      <c r="B182" s="8" t="s">
        <v>337</v>
      </c>
      <c r="C182" s="96" t="s">
        <v>117</v>
      </c>
      <c r="D182" s="10"/>
      <c r="E182" s="10">
        <f t="shared" ref="E182:E197" si="40">+D182</f>
        <v>0</v>
      </c>
      <c r="F182" s="99">
        <v>110</v>
      </c>
      <c r="G182" s="10">
        <f t="shared" si="36"/>
        <v>110</v>
      </c>
      <c r="H182" s="10">
        <f t="shared" si="37"/>
        <v>0</v>
      </c>
      <c r="I182" s="10"/>
      <c r="J182" s="38"/>
      <c r="K182" s="11">
        <v>6861</v>
      </c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 t="s">
        <v>301</v>
      </c>
      <c r="B183" s="95" t="s">
        <v>340</v>
      </c>
      <c r="C183" s="96" t="s">
        <v>41</v>
      </c>
      <c r="D183" s="10"/>
      <c r="E183" s="10">
        <f t="shared" si="40"/>
        <v>0</v>
      </c>
      <c r="F183" s="99"/>
      <c r="G183" s="10">
        <f t="shared" si="36"/>
        <v>0</v>
      </c>
      <c r="H183" s="10">
        <f t="shared" si="37"/>
        <v>0</v>
      </c>
      <c r="I183" s="10"/>
      <c r="J183" s="38"/>
      <c r="K183" s="11"/>
      <c r="L183" s="10">
        <v>406541.85</v>
      </c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 t="s">
        <v>301</v>
      </c>
      <c r="B184" s="73" t="s">
        <v>342</v>
      </c>
      <c r="C184" s="96" t="s">
        <v>117</v>
      </c>
      <c r="D184" s="10">
        <v>-115000</v>
      </c>
      <c r="E184" s="10">
        <f t="shared" si="40"/>
        <v>-115000</v>
      </c>
      <c r="F184" s="99"/>
      <c r="G184" s="10">
        <f t="shared" si="36"/>
        <v>0</v>
      </c>
      <c r="H184" s="10">
        <f t="shared" si="37"/>
        <v>-115000</v>
      </c>
      <c r="I184" s="10"/>
      <c r="J184" s="38"/>
      <c r="K184" s="11">
        <v>4737</v>
      </c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 t="s">
        <v>301</v>
      </c>
      <c r="B185" s="12" t="s">
        <v>338</v>
      </c>
      <c r="C185" s="96" t="s">
        <v>117</v>
      </c>
      <c r="D185" s="10">
        <v>115000</v>
      </c>
      <c r="E185" s="10">
        <f t="shared" si="40"/>
        <v>115000</v>
      </c>
      <c r="F185" s="99"/>
      <c r="G185" s="10">
        <f t="shared" si="36"/>
        <v>0</v>
      </c>
      <c r="H185" s="10">
        <f t="shared" si="37"/>
        <v>115000</v>
      </c>
      <c r="I185" s="10"/>
      <c r="J185" s="38"/>
      <c r="K185" s="11">
        <v>4737</v>
      </c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 t="s">
        <v>301</v>
      </c>
      <c r="B186" s="8" t="s">
        <v>339</v>
      </c>
      <c r="C186" s="96" t="s">
        <v>117</v>
      </c>
      <c r="D186" s="10"/>
      <c r="E186" s="10">
        <f t="shared" si="40"/>
        <v>0</v>
      </c>
      <c r="F186" s="99">
        <v>8</v>
      </c>
      <c r="G186" s="10">
        <f t="shared" si="36"/>
        <v>8</v>
      </c>
      <c r="H186" s="10">
        <f t="shared" si="37"/>
        <v>0</v>
      </c>
      <c r="I186" s="10"/>
      <c r="J186" s="38"/>
      <c r="K186" s="11">
        <v>6879</v>
      </c>
      <c r="L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 t="s">
        <v>301</v>
      </c>
      <c r="B187" s="95" t="s">
        <v>343</v>
      </c>
      <c r="C187" s="41" t="s">
        <v>25</v>
      </c>
      <c r="D187" s="10"/>
      <c r="E187" s="10">
        <f t="shared" si="40"/>
        <v>0</v>
      </c>
      <c r="F187" s="99"/>
      <c r="G187" s="10">
        <f t="shared" si="36"/>
        <v>0</v>
      </c>
      <c r="H187" s="10">
        <f t="shared" si="37"/>
        <v>0</v>
      </c>
      <c r="I187" s="10"/>
      <c r="J187" s="38"/>
      <c r="K187" s="11"/>
      <c r="L187" s="10">
        <v>7.4</v>
      </c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 t="s">
        <v>301</v>
      </c>
      <c r="C188" s="41" t="s">
        <v>25</v>
      </c>
      <c r="D188" s="10"/>
      <c r="E188" s="10">
        <f t="shared" si="40"/>
        <v>0</v>
      </c>
      <c r="F188" s="10"/>
      <c r="G188" s="10">
        <f t="shared" si="36"/>
        <v>0</v>
      </c>
      <c r="H188" s="10">
        <f t="shared" si="37"/>
        <v>0</v>
      </c>
      <c r="I188" s="10"/>
      <c r="J188" s="38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41" t="s">
        <v>25</v>
      </c>
      <c r="D189" s="10"/>
      <c r="E189" s="10">
        <f t="shared" si="40"/>
        <v>0</v>
      </c>
      <c r="F189" s="10"/>
      <c r="G189" s="10">
        <f t="shared" si="36"/>
        <v>0</v>
      </c>
      <c r="H189" s="10">
        <f t="shared" si="37"/>
        <v>0</v>
      </c>
      <c r="I189" s="10"/>
      <c r="J189" s="38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41" t="s">
        <v>25</v>
      </c>
      <c r="D190" s="10"/>
      <c r="E190" s="10">
        <f t="shared" si="40"/>
        <v>0</v>
      </c>
      <c r="F190" s="10"/>
      <c r="G190" s="10">
        <f t="shared" si="36"/>
        <v>0</v>
      </c>
      <c r="H190" s="10">
        <f t="shared" si="37"/>
        <v>0</v>
      </c>
      <c r="I190" s="10"/>
      <c r="J190" s="38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35" t="s">
        <v>344</v>
      </c>
      <c r="B191" s="8" t="s">
        <v>345</v>
      </c>
      <c r="C191" s="96" t="s">
        <v>81</v>
      </c>
      <c r="D191" s="10"/>
      <c r="E191" s="10">
        <f t="shared" si="40"/>
        <v>0</v>
      </c>
      <c r="F191" s="10"/>
      <c r="G191" s="10">
        <v>57810.96</v>
      </c>
      <c r="H191" s="10">
        <f t="shared" si="37"/>
        <v>0</v>
      </c>
      <c r="I191" s="10"/>
      <c r="J191" s="38" t="s">
        <v>55</v>
      </c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>
        <v>44399</v>
      </c>
      <c r="B192" s="8" t="s">
        <v>346</v>
      </c>
      <c r="C192" s="96" t="s">
        <v>66</v>
      </c>
      <c r="D192" s="10"/>
      <c r="E192" s="10">
        <f t="shared" si="40"/>
        <v>0</v>
      </c>
      <c r="F192" s="10">
        <f>110+110+110+110</f>
        <v>440</v>
      </c>
      <c r="G192" s="10">
        <f t="shared" si="36"/>
        <v>440</v>
      </c>
      <c r="H192" s="10">
        <f t="shared" si="37"/>
        <v>0</v>
      </c>
      <c r="I192" s="10"/>
      <c r="J192" s="38"/>
      <c r="K192" s="11">
        <v>6861</v>
      </c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>
        <v>44424</v>
      </c>
      <c r="B193" s="8" t="s">
        <v>347</v>
      </c>
      <c r="C193" s="96" t="s">
        <v>81</v>
      </c>
      <c r="D193" s="10"/>
      <c r="E193" s="10">
        <f t="shared" si="40"/>
        <v>0</v>
      </c>
      <c r="F193" s="10"/>
      <c r="G193" s="10">
        <v>136746.1</v>
      </c>
      <c r="H193" s="10">
        <f t="shared" si="37"/>
        <v>0</v>
      </c>
      <c r="I193" s="10"/>
      <c r="J193" s="38" t="s">
        <v>227</v>
      </c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>
        <v>44431</v>
      </c>
      <c r="B194" s="95" t="s">
        <v>348</v>
      </c>
      <c r="C194" s="96" t="s">
        <v>41</v>
      </c>
      <c r="D194" s="10"/>
      <c r="E194" s="10">
        <f t="shared" si="40"/>
        <v>0</v>
      </c>
      <c r="F194" s="10"/>
      <c r="G194" s="10">
        <f>IF(K194&gt;0,0,F194)</f>
        <v>0</v>
      </c>
      <c r="H194" s="10">
        <f t="shared" ref="H194:H209" si="41">+D194</f>
        <v>0</v>
      </c>
      <c r="I194" s="10">
        <v>3308308.93</v>
      </c>
      <c r="K194" s="38" t="s">
        <v>349</v>
      </c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>
        <v>44420</v>
      </c>
      <c r="B195" s="95" t="s">
        <v>350</v>
      </c>
      <c r="C195" s="96" t="s">
        <v>41</v>
      </c>
      <c r="D195" s="10"/>
      <c r="E195" s="10">
        <f t="shared" si="40"/>
        <v>0</v>
      </c>
      <c r="F195" s="10"/>
      <c r="G195" s="10">
        <f>IF(K195&gt;0,0,F195)</f>
        <v>0</v>
      </c>
      <c r="H195" s="10">
        <f t="shared" si="41"/>
        <v>0</v>
      </c>
      <c r="I195" s="10">
        <v>406541.85</v>
      </c>
      <c r="K195" s="38" t="s">
        <v>349</v>
      </c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>
        <v>44420</v>
      </c>
      <c r="B196" s="95" t="s">
        <v>351</v>
      </c>
      <c r="C196" s="96" t="s">
        <v>41</v>
      </c>
      <c r="D196" s="10"/>
      <c r="E196" s="10">
        <f t="shared" si="40"/>
        <v>0</v>
      </c>
      <c r="F196" s="10"/>
      <c r="G196" s="10">
        <f t="shared" ref="G196:G209" si="42">IF(J196&gt;0,0,F196)</f>
        <v>0</v>
      </c>
      <c r="H196" s="10">
        <f t="shared" si="41"/>
        <v>0</v>
      </c>
      <c r="I196" s="10">
        <v>7.4</v>
      </c>
      <c r="J196" s="38"/>
      <c r="K196" s="11">
        <v>4760</v>
      </c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>
        <v>44431</v>
      </c>
      <c r="B197" s="8" t="s">
        <v>352</v>
      </c>
      <c r="C197" s="96" t="s">
        <v>66</v>
      </c>
      <c r="D197" s="10"/>
      <c r="E197" s="10">
        <f t="shared" si="40"/>
        <v>0</v>
      </c>
      <c r="F197" s="10">
        <v>36158.71</v>
      </c>
      <c r="G197" s="10">
        <f t="shared" si="42"/>
        <v>0</v>
      </c>
      <c r="H197" s="10">
        <f t="shared" si="41"/>
        <v>0</v>
      </c>
      <c r="I197" s="10"/>
      <c r="J197" s="38" t="s">
        <v>55</v>
      </c>
      <c r="K197" s="11">
        <v>6811</v>
      </c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>
        <v>44442</v>
      </c>
      <c r="B198" s="73" t="s">
        <v>353</v>
      </c>
      <c r="C198" s="96" t="s">
        <v>41</v>
      </c>
      <c r="D198" s="10"/>
      <c r="E198" s="10">
        <f t="shared" ref="E198:E213" si="43">+D198</f>
        <v>0</v>
      </c>
      <c r="F198" s="10"/>
      <c r="G198" s="10">
        <f t="shared" si="42"/>
        <v>0</v>
      </c>
      <c r="H198" s="10">
        <f t="shared" si="41"/>
        <v>0</v>
      </c>
      <c r="I198" s="10"/>
      <c r="J198" s="38"/>
      <c r="K198" s="11"/>
      <c r="L198" s="10">
        <v>33843.81</v>
      </c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>
        <v>44453</v>
      </c>
      <c r="B199" s="8" t="s">
        <v>354</v>
      </c>
      <c r="C199" s="96" t="s">
        <v>66</v>
      </c>
      <c r="D199" s="10"/>
      <c r="E199" s="10">
        <f t="shared" si="43"/>
        <v>0</v>
      </c>
      <c r="F199" s="10">
        <f>8+8</f>
        <v>16</v>
      </c>
      <c r="G199" s="10">
        <f t="shared" si="42"/>
        <v>16</v>
      </c>
      <c r="H199" s="10">
        <f t="shared" si="41"/>
        <v>0</v>
      </c>
      <c r="I199" s="10"/>
      <c r="J199" s="38"/>
      <c r="K199" s="11">
        <v>6879</v>
      </c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>
        <v>44467</v>
      </c>
      <c r="B200" s="8" t="s">
        <v>355</v>
      </c>
      <c r="C200" s="96" t="s">
        <v>66</v>
      </c>
      <c r="D200" s="10"/>
      <c r="E200" s="10">
        <f t="shared" si="43"/>
        <v>0</v>
      </c>
      <c r="F200" s="10">
        <v>50293</v>
      </c>
      <c r="G200" s="10">
        <f t="shared" si="42"/>
        <v>0</v>
      </c>
      <c r="H200" s="10">
        <f t="shared" si="41"/>
        <v>0</v>
      </c>
      <c r="I200" s="10"/>
      <c r="J200" s="38" t="s">
        <v>227</v>
      </c>
      <c r="K200" s="11">
        <v>6811</v>
      </c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>
        <v>44463</v>
      </c>
      <c r="B201" s="8" t="s">
        <v>356</v>
      </c>
      <c r="C201" s="96" t="s">
        <v>66</v>
      </c>
      <c r="D201" s="10"/>
      <c r="E201" s="10">
        <f t="shared" si="43"/>
        <v>0</v>
      </c>
      <c r="F201" s="10">
        <v>955472.17</v>
      </c>
      <c r="G201" s="10">
        <f t="shared" si="42"/>
        <v>0</v>
      </c>
      <c r="H201" s="10">
        <f t="shared" si="41"/>
        <v>0</v>
      </c>
      <c r="I201" s="10"/>
      <c r="J201" s="38" t="s">
        <v>227</v>
      </c>
      <c r="K201" s="11">
        <v>6811</v>
      </c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>
        <v>44463</v>
      </c>
      <c r="B202" s="12" t="s">
        <v>357</v>
      </c>
      <c r="C202" s="96" t="s">
        <v>66</v>
      </c>
      <c r="D202" s="10"/>
      <c r="E202" s="10">
        <f t="shared" si="43"/>
        <v>0</v>
      </c>
      <c r="F202" s="10">
        <v>12526.6</v>
      </c>
      <c r="G202" s="10">
        <f t="shared" si="42"/>
        <v>0</v>
      </c>
      <c r="H202" s="10">
        <f t="shared" si="41"/>
        <v>0</v>
      </c>
      <c r="I202" s="10"/>
      <c r="J202" s="38" t="s">
        <v>92</v>
      </c>
      <c r="K202" s="11">
        <v>6861</v>
      </c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>
        <v>44467</v>
      </c>
      <c r="B203" s="8" t="s">
        <v>358</v>
      </c>
      <c r="C203" s="96" t="s">
        <v>66</v>
      </c>
      <c r="D203" s="10"/>
      <c r="E203" s="10">
        <f t="shared" si="43"/>
        <v>0</v>
      </c>
      <c r="F203" s="10">
        <v>34084.199999999997</v>
      </c>
      <c r="G203" s="10">
        <f t="shared" si="42"/>
        <v>0</v>
      </c>
      <c r="H203" s="10">
        <f t="shared" si="41"/>
        <v>0</v>
      </c>
      <c r="I203" s="10"/>
      <c r="J203" s="38" t="s">
        <v>92</v>
      </c>
      <c r="K203" s="11">
        <v>6861</v>
      </c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>
        <v>44470</v>
      </c>
      <c r="B204" s="8" t="s">
        <v>359</v>
      </c>
      <c r="C204" s="96" t="s">
        <v>66</v>
      </c>
      <c r="D204" s="10"/>
      <c r="E204" s="10">
        <f t="shared" si="43"/>
        <v>0</v>
      </c>
      <c r="F204" s="10">
        <v>1711.16</v>
      </c>
      <c r="G204" s="10">
        <f t="shared" si="42"/>
        <v>0</v>
      </c>
      <c r="H204" s="10">
        <f t="shared" si="41"/>
        <v>0</v>
      </c>
      <c r="I204" s="10"/>
      <c r="J204" s="38" t="s">
        <v>62</v>
      </c>
      <c r="K204" s="11">
        <v>6849</v>
      </c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>
        <v>44470</v>
      </c>
      <c r="B205" s="95" t="s">
        <v>361</v>
      </c>
      <c r="C205" s="96" t="s">
        <v>41</v>
      </c>
      <c r="D205" s="10"/>
      <c r="E205" s="10">
        <f t="shared" si="43"/>
        <v>0</v>
      </c>
      <c r="F205" s="10"/>
      <c r="G205" s="10">
        <f t="shared" si="42"/>
        <v>0</v>
      </c>
      <c r="H205" s="10">
        <f t="shared" si="41"/>
        <v>0</v>
      </c>
      <c r="I205" s="10"/>
      <c r="J205" s="38"/>
      <c r="K205" s="11"/>
      <c r="L205" s="10">
        <v>974757.42</v>
      </c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>
        <v>44487</v>
      </c>
      <c r="B206" s="8" t="s">
        <v>360</v>
      </c>
      <c r="C206" s="96" t="s">
        <v>66</v>
      </c>
      <c r="D206" s="10"/>
      <c r="E206" s="10">
        <f t="shared" si="43"/>
        <v>0</v>
      </c>
      <c r="F206" s="10">
        <v>864457.63</v>
      </c>
      <c r="G206" s="10">
        <f t="shared" si="42"/>
        <v>0</v>
      </c>
      <c r="H206" s="10">
        <f t="shared" si="41"/>
        <v>0</v>
      </c>
      <c r="I206" s="10"/>
      <c r="J206" s="38" t="s">
        <v>227</v>
      </c>
      <c r="K206" s="11">
        <v>6811</v>
      </c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>
        <v>44484</v>
      </c>
      <c r="B207" s="12" t="s">
        <v>362</v>
      </c>
      <c r="C207" s="96" t="s">
        <v>66</v>
      </c>
      <c r="D207" s="10"/>
      <c r="E207" s="10">
        <f t="shared" si="43"/>
        <v>0</v>
      </c>
      <c r="F207" s="10">
        <v>752.4</v>
      </c>
      <c r="G207" s="10">
        <f t="shared" si="42"/>
        <v>0</v>
      </c>
      <c r="H207" s="10">
        <f t="shared" si="41"/>
        <v>0</v>
      </c>
      <c r="I207" s="10"/>
      <c r="J207" s="38" t="s">
        <v>224</v>
      </c>
      <c r="K207" s="11">
        <v>6873</v>
      </c>
      <c r="L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>
        <v>44473</v>
      </c>
      <c r="B208" s="8" t="s">
        <v>364</v>
      </c>
      <c r="C208" s="96" t="s">
        <v>66</v>
      </c>
      <c r="D208" s="10"/>
      <c r="E208" s="10">
        <f t="shared" si="43"/>
        <v>0</v>
      </c>
      <c r="F208" s="10">
        <v>2855.3</v>
      </c>
      <c r="G208" s="10">
        <f t="shared" si="42"/>
        <v>0</v>
      </c>
      <c r="H208" s="10">
        <f t="shared" si="41"/>
        <v>0</v>
      </c>
      <c r="I208" s="10"/>
      <c r="J208" s="38" t="s">
        <v>224</v>
      </c>
      <c r="K208" s="11">
        <v>6873</v>
      </c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>
        <v>44473</v>
      </c>
      <c r="B209" s="8" t="s">
        <v>365</v>
      </c>
      <c r="C209" s="96" t="s">
        <v>66</v>
      </c>
      <c r="D209" s="10">
        <v>185716.52</v>
      </c>
      <c r="E209" s="10">
        <f t="shared" si="43"/>
        <v>185716.52</v>
      </c>
      <c r="F209" s="10"/>
      <c r="G209" s="10">
        <f t="shared" si="42"/>
        <v>0</v>
      </c>
      <c r="H209" s="10">
        <f t="shared" si="41"/>
        <v>185716.52</v>
      </c>
      <c r="I209" s="10"/>
      <c r="J209" s="38"/>
      <c r="K209" s="11">
        <v>4761</v>
      </c>
      <c r="L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>
        <f>+A209</f>
        <v>44473</v>
      </c>
      <c r="B210" s="8" t="s">
        <v>366</v>
      </c>
      <c r="C210" s="96" t="s">
        <v>66</v>
      </c>
      <c r="D210" s="10"/>
      <c r="E210" s="10">
        <f t="shared" si="43"/>
        <v>0</v>
      </c>
      <c r="F210" s="10">
        <v>45502</v>
      </c>
      <c r="G210" s="10">
        <f t="shared" ref="G210:G224" si="44">IF(J210&gt;0,0,F210)</f>
        <v>0</v>
      </c>
      <c r="H210" s="10">
        <f t="shared" ref="H210:H225" si="45">+D210</f>
        <v>0</v>
      </c>
      <c r="I210" s="10"/>
      <c r="J210" s="38" t="s">
        <v>227</v>
      </c>
      <c r="K210" s="11">
        <v>6811</v>
      </c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>
        <v>44484</v>
      </c>
      <c r="B211" s="12" t="s">
        <v>367</v>
      </c>
      <c r="C211" s="96" t="s">
        <v>66</v>
      </c>
      <c r="D211" s="10"/>
      <c r="E211" s="10">
        <f t="shared" si="43"/>
        <v>0</v>
      </c>
      <c r="F211" s="10">
        <v>13766</v>
      </c>
      <c r="G211" s="10">
        <f t="shared" si="44"/>
        <v>0</v>
      </c>
      <c r="H211" s="10">
        <f t="shared" si="45"/>
        <v>0</v>
      </c>
      <c r="I211" s="10"/>
      <c r="J211" s="38" t="s">
        <v>92</v>
      </c>
      <c r="K211" s="11">
        <v>6861</v>
      </c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>
        <v>44498</v>
      </c>
      <c r="B212" s="8" t="s">
        <v>368</v>
      </c>
      <c r="C212" s="96" t="s">
        <v>81</v>
      </c>
      <c r="D212" s="10"/>
      <c r="E212" s="10">
        <f t="shared" si="43"/>
        <v>0</v>
      </c>
      <c r="F212" s="10"/>
      <c r="G212" s="10">
        <v>185716.52</v>
      </c>
      <c r="H212" s="10">
        <f t="shared" si="45"/>
        <v>0</v>
      </c>
      <c r="I212" s="10"/>
      <c r="J212" s="38" t="s">
        <v>55</v>
      </c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>
        <v>44503</v>
      </c>
      <c r="B213" s="8" t="s">
        <v>369</v>
      </c>
      <c r="C213" s="96" t="s">
        <v>66</v>
      </c>
      <c r="D213" s="10"/>
      <c r="E213" s="10">
        <f t="shared" si="43"/>
        <v>0</v>
      </c>
      <c r="F213" s="10">
        <v>20412.7</v>
      </c>
      <c r="G213" s="10">
        <f t="shared" si="44"/>
        <v>0</v>
      </c>
      <c r="H213" s="10">
        <f t="shared" si="45"/>
        <v>0</v>
      </c>
      <c r="I213" s="10"/>
      <c r="J213" s="38" t="s">
        <v>92</v>
      </c>
      <c r="K213" s="11">
        <v>6861</v>
      </c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>
        <v>44509</v>
      </c>
      <c r="B214" s="8" t="s">
        <v>370</v>
      </c>
      <c r="C214" s="96" t="s">
        <v>66</v>
      </c>
      <c r="D214" s="10"/>
      <c r="E214" s="10">
        <f t="shared" ref="E214:E229" si="46">+D214</f>
        <v>0</v>
      </c>
      <c r="F214" s="10">
        <v>30546</v>
      </c>
      <c r="G214" s="10">
        <f t="shared" si="44"/>
        <v>0</v>
      </c>
      <c r="H214" s="10">
        <f t="shared" si="45"/>
        <v>0</v>
      </c>
      <c r="I214" s="10"/>
      <c r="J214" s="38" t="s">
        <v>55</v>
      </c>
      <c r="K214" s="11">
        <v>6811</v>
      </c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>
        <v>44509</v>
      </c>
      <c r="B215" s="95" t="s">
        <v>371</v>
      </c>
      <c r="C215" s="96" t="s">
        <v>41</v>
      </c>
      <c r="D215" s="10"/>
      <c r="E215" s="10">
        <f t="shared" si="46"/>
        <v>0</v>
      </c>
      <c r="F215" s="10"/>
      <c r="G215" s="10">
        <f t="shared" si="44"/>
        <v>0</v>
      </c>
      <c r="H215" s="10">
        <f t="shared" si="45"/>
        <v>0</v>
      </c>
      <c r="I215" s="10">
        <v>33843.81</v>
      </c>
      <c r="J215" s="38"/>
      <c r="K215" s="11">
        <v>4760</v>
      </c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>
        <v>44494</v>
      </c>
      <c r="B216" s="8" t="s">
        <v>372</v>
      </c>
      <c r="C216" s="96" t="s">
        <v>66</v>
      </c>
      <c r="D216" s="10"/>
      <c r="E216" s="10">
        <f t="shared" si="46"/>
        <v>0</v>
      </c>
      <c r="F216" s="10">
        <v>8</v>
      </c>
      <c r="G216" s="10">
        <f t="shared" si="44"/>
        <v>8</v>
      </c>
      <c r="H216" s="10">
        <f t="shared" si="45"/>
        <v>0</v>
      </c>
      <c r="I216" s="10"/>
      <c r="J216" s="38"/>
      <c r="K216" s="11">
        <v>6879</v>
      </c>
      <c r="L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>
        <v>44502</v>
      </c>
      <c r="B217" s="95" t="s">
        <v>384</v>
      </c>
      <c r="C217" s="96" t="s">
        <v>41</v>
      </c>
      <c r="D217" s="10"/>
      <c r="E217" s="10">
        <f t="shared" si="46"/>
        <v>0</v>
      </c>
      <c r="F217" s="10"/>
      <c r="G217" s="10">
        <f t="shared" si="44"/>
        <v>0</v>
      </c>
      <c r="H217" s="10">
        <f t="shared" si="45"/>
        <v>0</v>
      </c>
      <c r="I217" s="10"/>
      <c r="J217" s="38"/>
      <c r="K217" s="11"/>
      <c r="L217" s="10">
        <v>912360.71</v>
      </c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>
        <v>44515</v>
      </c>
      <c r="B218" s="8" t="s">
        <v>373</v>
      </c>
      <c r="C218" s="96" t="s">
        <v>81</v>
      </c>
      <c r="D218" s="10"/>
      <c r="E218" s="10">
        <f t="shared" si="46"/>
        <v>0</v>
      </c>
      <c r="F218" s="10"/>
      <c r="G218" s="10">
        <v>28257.32</v>
      </c>
      <c r="H218" s="10">
        <f t="shared" si="45"/>
        <v>0</v>
      </c>
      <c r="I218" s="10"/>
      <c r="J218" s="38" t="s">
        <v>92</v>
      </c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>
        <v>44518</v>
      </c>
      <c r="B219" s="8" t="s">
        <v>374</v>
      </c>
      <c r="C219" s="96" t="s">
        <v>66</v>
      </c>
      <c r="D219" s="10"/>
      <c r="E219" s="10">
        <f t="shared" si="46"/>
        <v>0</v>
      </c>
      <c r="F219" s="99">
        <v>4862</v>
      </c>
      <c r="G219" s="10">
        <f t="shared" si="44"/>
        <v>0</v>
      </c>
      <c r="H219" s="10">
        <f t="shared" si="45"/>
        <v>0</v>
      </c>
      <c r="I219" s="10"/>
      <c r="J219" s="38" t="s">
        <v>47</v>
      </c>
      <c r="K219" s="11">
        <v>6849</v>
      </c>
      <c r="L219" s="10"/>
      <c r="M219" s="10"/>
      <c r="N219" s="45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>
        <v>44515</v>
      </c>
      <c r="B220" s="8" t="s">
        <v>375</v>
      </c>
      <c r="C220" s="96" t="s">
        <v>66</v>
      </c>
      <c r="D220" s="10"/>
      <c r="E220" s="10">
        <f t="shared" si="46"/>
        <v>0</v>
      </c>
      <c r="F220" s="99">
        <v>3212.1</v>
      </c>
      <c r="G220" s="10">
        <f t="shared" si="44"/>
        <v>0</v>
      </c>
      <c r="H220" s="10">
        <f t="shared" si="45"/>
        <v>0</v>
      </c>
      <c r="I220" s="10"/>
      <c r="J220" s="38" t="s">
        <v>62</v>
      </c>
      <c r="K220" s="11">
        <v>6849</v>
      </c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>
        <v>44515</v>
      </c>
      <c r="B221" s="12" t="s">
        <v>376</v>
      </c>
      <c r="C221" s="96" t="s">
        <v>66</v>
      </c>
      <c r="D221" s="10"/>
      <c r="E221" s="10">
        <f t="shared" si="46"/>
        <v>0</v>
      </c>
      <c r="F221" s="99">
        <v>537711.79</v>
      </c>
      <c r="G221" s="10">
        <f t="shared" si="44"/>
        <v>0</v>
      </c>
      <c r="H221" s="10">
        <f t="shared" si="45"/>
        <v>0</v>
      </c>
      <c r="I221" s="10"/>
      <c r="J221" s="38" t="s">
        <v>227</v>
      </c>
      <c r="K221" s="11">
        <v>6811</v>
      </c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>
        <v>44515</v>
      </c>
      <c r="B222" s="8" t="s">
        <v>377</v>
      </c>
      <c r="C222" s="96" t="s">
        <v>66</v>
      </c>
      <c r="D222" s="10"/>
      <c r="E222" s="10">
        <f t="shared" si="46"/>
        <v>0</v>
      </c>
      <c r="F222" s="99">
        <v>28305</v>
      </c>
      <c r="G222" s="10">
        <f t="shared" si="44"/>
        <v>0</v>
      </c>
      <c r="H222" s="10">
        <f t="shared" si="45"/>
        <v>0</v>
      </c>
      <c r="I222" s="10"/>
      <c r="J222" s="38" t="s">
        <v>227</v>
      </c>
      <c r="K222" s="11">
        <v>6811</v>
      </c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>
        <v>44515</v>
      </c>
      <c r="B223" s="8" t="s">
        <v>378</v>
      </c>
      <c r="C223" s="96" t="s">
        <v>66</v>
      </c>
      <c r="D223" s="10"/>
      <c r="E223" s="10">
        <f t="shared" si="46"/>
        <v>0</v>
      </c>
      <c r="F223" s="146">
        <v>3687.9</v>
      </c>
      <c r="G223" s="10">
        <f t="shared" si="44"/>
        <v>0</v>
      </c>
      <c r="H223" s="10">
        <f t="shared" si="45"/>
        <v>0</v>
      </c>
      <c r="I223" s="10"/>
      <c r="J223" s="38" t="s">
        <v>62</v>
      </c>
      <c r="K223" s="11">
        <v>6849</v>
      </c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>
        <v>44517</v>
      </c>
      <c r="B224" s="95" t="s">
        <v>379</v>
      </c>
      <c r="C224" s="96" t="s">
        <v>41</v>
      </c>
      <c r="D224" s="10"/>
      <c r="E224" s="10">
        <f t="shared" si="46"/>
        <v>0</v>
      </c>
      <c r="F224" s="10"/>
      <c r="G224" s="10">
        <f t="shared" si="44"/>
        <v>0</v>
      </c>
      <c r="H224" s="10">
        <f t="shared" si="45"/>
        <v>0</v>
      </c>
      <c r="I224" s="10">
        <v>974757.42</v>
      </c>
      <c r="J224" s="38"/>
      <c r="K224" s="11">
        <v>4760</v>
      </c>
      <c r="L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>
        <v>44524</v>
      </c>
      <c r="B225" s="8" t="s">
        <v>380</v>
      </c>
      <c r="C225" s="96" t="s">
        <v>81</v>
      </c>
      <c r="D225" s="10"/>
      <c r="E225" s="10">
        <f t="shared" si="46"/>
        <v>0</v>
      </c>
      <c r="F225" s="10"/>
      <c r="G225" s="10">
        <v>66286.25</v>
      </c>
      <c r="H225" s="10">
        <f t="shared" si="45"/>
        <v>0</v>
      </c>
      <c r="I225" s="10"/>
      <c r="J225" s="38" t="s">
        <v>227</v>
      </c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>
        <v>44501</v>
      </c>
      <c r="B226" s="8" t="s">
        <v>381</v>
      </c>
      <c r="C226" s="96" t="s">
        <v>81</v>
      </c>
      <c r="D226" s="10"/>
      <c r="E226" s="10">
        <f t="shared" si="46"/>
        <v>0</v>
      </c>
      <c r="F226" s="10"/>
      <c r="G226" s="10">
        <v>20415.55</v>
      </c>
      <c r="H226" s="10">
        <f t="shared" ref="H226:H239" si="47">+D226</f>
        <v>0</v>
      </c>
      <c r="I226" s="10"/>
      <c r="J226" s="38" t="s">
        <v>227</v>
      </c>
      <c r="K226" s="11"/>
      <c r="L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>
        <v>44501</v>
      </c>
      <c r="B227" s="8" t="s">
        <v>382</v>
      </c>
      <c r="C227" s="96" t="s">
        <v>66</v>
      </c>
      <c r="D227" s="10"/>
      <c r="E227" s="10">
        <f t="shared" si="46"/>
        <v>0</v>
      </c>
      <c r="F227" s="99">
        <v>1994.3</v>
      </c>
      <c r="G227" s="10">
        <f t="shared" ref="G227:G238" si="48">IF(J227&gt;0,0,F227)</f>
        <v>0</v>
      </c>
      <c r="H227" s="10">
        <f t="shared" si="47"/>
        <v>0</v>
      </c>
      <c r="I227" s="10"/>
      <c r="J227" s="38" t="s">
        <v>224</v>
      </c>
      <c r="K227" s="11">
        <v>6873</v>
      </c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>
        <v>44539</v>
      </c>
      <c r="B228" s="8" t="s">
        <v>383</v>
      </c>
      <c r="C228" s="96" t="s">
        <v>66</v>
      </c>
      <c r="D228" s="10"/>
      <c r="E228" s="10">
        <f t="shared" si="46"/>
        <v>0</v>
      </c>
      <c r="F228" s="99">
        <v>8</v>
      </c>
      <c r="G228" s="10">
        <f t="shared" si="48"/>
        <v>8</v>
      </c>
      <c r="H228" s="10">
        <f t="shared" si="47"/>
        <v>0</v>
      </c>
      <c r="I228" s="10"/>
      <c r="J228" s="38"/>
      <c r="K228" s="11">
        <v>6879</v>
      </c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>
        <v>44547</v>
      </c>
      <c r="B229" s="95" t="s">
        <v>392</v>
      </c>
      <c r="C229" s="96" t="s">
        <v>41</v>
      </c>
      <c r="D229" s="10"/>
      <c r="E229" s="10">
        <f t="shared" si="46"/>
        <v>0</v>
      </c>
      <c r="F229" s="10"/>
      <c r="G229" s="10">
        <f t="shared" si="48"/>
        <v>0</v>
      </c>
      <c r="H229" s="10">
        <f t="shared" si="47"/>
        <v>0</v>
      </c>
      <c r="I229" s="10"/>
      <c r="J229" s="38"/>
      <c r="K229" s="11"/>
      <c r="L229" s="10">
        <v>536678.68000000005</v>
      </c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>
        <v>44550</v>
      </c>
      <c r="B230" s="8" t="s">
        <v>385</v>
      </c>
      <c r="C230" s="96" t="s">
        <v>66</v>
      </c>
      <c r="D230" s="10"/>
      <c r="E230" s="10">
        <f t="shared" ref="E230:E239" si="49">+D230</f>
        <v>0</v>
      </c>
      <c r="F230" s="10">
        <v>36158.86</v>
      </c>
      <c r="G230" s="10">
        <f t="shared" si="48"/>
        <v>0</v>
      </c>
      <c r="H230" s="10">
        <f t="shared" si="47"/>
        <v>0</v>
      </c>
      <c r="I230" s="10"/>
      <c r="J230" s="38" t="s">
        <v>92</v>
      </c>
      <c r="K230" s="11">
        <v>6861</v>
      </c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>
        <v>44551</v>
      </c>
      <c r="B231" s="8" t="s">
        <v>386</v>
      </c>
      <c r="C231" s="96" t="s">
        <v>66</v>
      </c>
      <c r="D231" s="10"/>
      <c r="E231" s="10">
        <f t="shared" si="49"/>
        <v>0</v>
      </c>
      <c r="F231" s="10">
        <v>8</v>
      </c>
      <c r="G231" s="10">
        <f t="shared" si="48"/>
        <v>8</v>
      </c>
      <c r="H231" s="10">
        <f t="shared" si="47"/>
        <v>0</v>
      </c>
      <c r="I231" s="10"/>
      <c r="J231" s="38"/>
      <c r="K231" s="11">
        <v>6879</v>
      </c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>
        <v>44547</v>
      </c>
      <c r="B232" s="8" t="s">
        <v>387</v>
      </c>
      <c r="C232" s="96" t="s">
        <v>66</v>
      </c>
      <c r="D232" s="10"/>
      <c r="E232" s="10">
        <f t="shared" si="49"/>
        <v>0</v>
      </c>
      <c r="F232" s="10">
        <v>31330</v>
      </c>
      <c r="G232" s="10">
        <f t="shared" si="48"/>
        <v>0</v>
      </c>
      <c r="H232" s="10">
        <f t="shared" si="47"/>
        <v>0</v>
      </c>
      <c r="I232" s="10"/>
      <c r="J232" s="38" t="s">
        <v>55</v>
      </c>
      <c r="K232" s="11">
        <v>6811</v>
      </c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>
        <v>44553</v>
      </c>
      <c r="B233" s="8" t="s">
        <v>388</v>
      </c>
      <c r="C233" s="96" t="s">
        <v>66</v>
      </c>
      <c r="D233" s="10">
        <f>14115906.88-13883428+0.48</f>
        <v>232479.36000000083</v>
      </c>
      <c r="E233" s="10">
        <f t="shared" si="49"/>
        <v>232479.36000000083</v>
      </c>
      <c r="F233" s="10"/>
      <c r="G233" s="10">
        <f t="shared" si="48"/>
        <v>0</v>
      </c>
      <c r="H233" s="10">
        <f t="shared" si="47"/>
        <v>232479.36000000083</v>
      </c>
      <c r="I233" s="10"/>
      <c r="J233" s="38"/>
      <c r="K233" s="11">
        <v>4761</v>
      </c>
      <c r="L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>
        <v>44562</v>
      </c>
      <c r="B234" s="8" t="s">
        <v>390</v>
      </c>
      <c r="C234" s="96" t="s">
        <v>66</v>
      </c>
      <c r="D234" s="10"/>
      <c r="E234" s="10">
        <f t="shared" si="49"/>
        <v>0</v>
      </c>
      <c r="F234" s="10">
        <v>2178</v>
      </c>
      <c r="G234" s="10">
        <f t="shared" si="48"/>
        <v>0</v>
      </c>
      <c r="H234" s="10">
        <f t="shared" si="47"/>
        <v>0</v>
      </c>
      <c r="I234" s="10"/>
      <c r="J234" s="38" t="s">
        <v>224</v>
      </c>
      <c r="K234" s="11">
        <v>6873</v>
      </c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>
        <v>44564</v>
      </c>
      <c r="B235" s="95" t="s">
        <v>391</v>
      </c>
      <c r="C235" s="96" t="s">
        <v>41</v>
      </c>
      <c r="D235" s="10"/>
      <c r="E235" s="10">
        <f t="shared" si="49"/>
        <v>0</v>
      </c>
      <c r="F235" s="10"/>
      <c r="G235" s="10">
        <f t="shared" si="48"/>
        <v>0</v>
      </c>
      <c r="H235" s="10">
        <f t="shared" si="47"/>
        <v>0</v>
      </c>
      <c r="I235" s="10">
        <v>912360.71</v>
      </c>
      <c r="J235" s="38"/>
      <c r="K235" s="11">
        <v>4760</v>
      </c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>
        <v>44917</v>
      </c>
      <c r="B236" s="95" t="s">
        <v>411</v>
      </c>
      <c r="C236" s="96" t="s">
        <v>41</v>
      </c>
      <c r="D236" s="10"/>
      <c r="E236" s="10">
        <f t="shared" si="49"/>
        <v>0</v>
      </c>
      <c r="F236" s="10"/>
      <c r="G236" s="10">
        <f t="shared" si="48"/>
        <v>0</v>
      </c>
      <c r="H236" s="10">
        <f t="shared" si="47"/>
        <v>0</v>
      </c>
      <c r="I236" s="10"/>
      <c r="J236" s="38"/>
      <c r="K236" s="11"/>
      <c r="L236" s="10">
        <v>74606.820000000007</v>
      </c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>
        <v>44579</v>
      </c>
      <c r="B237" s="8" t="s">
        <v>393</v>
      </c>
      <c r="C237" s="96" t="s">
        <v>66</v>
      </c>
      <c r="D237" s="10"/>
      <c r="E237" s="10">
        <f t="shared" si="49"/>
        <v>0</v>
      </c>
      <c r="F237" s="10">
        <v>14974.23</v>
      </c>
      <c r="G237" s="10">
        <f t="shared" si="48"/>
        <v>0</v>
      </c>
      <c r="H237" s="10">
        <f t="shared" si="47"/>
        <v>0</v>
      </c>
      <c r="I237" s="10"/>
      <c r="J237" s="38" t="s">
        <v>92</v>
      </c>
      <c r="K237" s="11">
        <v>6861</v>
      </c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>
        <v>44586</v>
      </c>
      <c r="B238" s="8" t="s">
        <v>394</v>
      </c>
      <c r="C238" s="96" t="s">
        <v>66</v>
      </c>
      <c r="D238" s="10"/>
      <c r="E238" s="10">
        <f t="shared" si="49"/>
        <v>0</v>
      </c>
      <c r="F238" s="10">
        <v>16003</v>
      </c>
      <c r="G238" s="10">
        <f t="shared" si="48"/>
        <v>0</v>
      </c>
      <c r="H238" s="10">
        <f t="shared" si="47"/>
        <v>0</v>
      </c>
      <c r="I238" s="145"/>
      <c r="J238" s="38" t="s">
        <v>55</v>
      </c>
      <c r="K238" s="11">
        <v>6811</v>
      </c>
      <c r="L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>
        <v>44592</v>
      </c>
      <c r="B239" s="95" t="s">
        <v>395</v>
      </c>
      <c r="C239" s="96" t="s">
        <v>41</v>
      </c>
      <c r="D239" s="10"/>
      <c r="E239" s="10">
        <f t="shared" si="49"/>
        <v>0</v>
      </c>
      <c r="F239" s="10"/>
      <c r="G239" s="10">
        <v>0</v>
      </c>
      <c r="H239" s="10">
        <f t="shared" si="47"/>
        <v>0</v>
      </c>
      <c r="I239" s="145">
        <v>536678.68000000005</v>
      </c>
      <c r="J239" s="38"/>
      <c r="K239" s="11">
        <v>4760</v>
      </c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>
        <v>44588</v>
      </c>
      <c r="B240" s="8" t="s">
        <v>396</v>
      </c>
      <c r="C240" s="96" t="s">
        <v>66</v>
      </c>
      <c r="D240" s="10"/>
      <c r="E240" s="10">
        <f>+D240</f>
        <v>0</v>
      </c>
      <c r="F240" s="10">
        <v>1470.82</v>
      </c>
      <c r="G240" s="10">
        <f>IF(J240&gt;0,0,F240)</f>
        <v>0</v>
      </c>
      <c r="H240" s="10">
        <f>+D240</f>
        <v>0</v>
      </c>
      <c r="I240" s="145"/>
      <c r="J240" s="38" t="s">
        <v>62</v>
      </c>
      <c r="K240" s="11">
        <v>6849</v>
      </c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13" x14ac:dyDescent="0.2">
      <c r="A241" s="7">
        <v>44594</v>
      </c>
      <c r="B241" s="43" t="s">
        <v>397</v>
      </c>
      <c r="C241" s="96" t="s">
        <v>66</v>
      </c>
      <c r="E241" s="10">
        <f t="shared" ref="E241:E304" si="50">+D241</f>
        <v>0</v>
      </c>
      <c r="F241" s="142">
        <v>4998.6000000000004</v>
      </c>
      <c r="G241" s="10">
        <f t="shared" ref="G241:G304" si="51">IF(J241&gt;0,0,F241)</f>
        <v>0</v>
      </c>
      <c r="H241" s="10">
        <f t="shared" ref="H241:H304" si="52">+D241</f>
        <v>0</v>
      </c>
      <c r="I241" s="144"/>
      <c r="J241" s="79" t="s">
        <v>224</v>
      </c>
      <c r="K241" s="80">
        <v>6873</v>
      </c>
      <c r="L241" s="142"/>
      <c r="M241" s="142"/>
    </row>
    <row r="242" spans="1:13" x14ac:dyDescent="0.2">
      <c r="A242" s="42">
        <v>44596</v>
      </c>
      <c r="B242" s="43" t="s">
        <v>398</v>
      </c>
      <c r="C242" s="147" t="s">
        <v>66</v>
      </c>
      <c r="E242" s="10">
        <f t="shared" si="50"/>
        <v>0</v>
      </c>
      <c r="F242" s="142">
        <v>363503.49</v>
      </c>
      <c r="G242" s="10">
        <f t="shared" si="51"/>
        <v>0</v>
      </c>
      <c r="H242" s="10">
        <f t="shared" si="52"/>
        <v>0</v>
      </c>
      <c r="I242" s="144"/>
      <c r="J242" s="79" t="s">
        <v>227</v>
      </c>
      <c r="K242" s="80">
        <v>6811</v>
      </c>
      <c r="L242" s="142"/>
      <c r="M242" s="142"/>
    </row>
    <row r="243" spans="1:13" x14ac:dyDescent="0.2">
      <c r="A243" s="42">
        <v>44599</v>
      </c>
      <c r="B243" s="43" t="s">
        <v>399</v>
      </c>
      <c r="C243" s="147" t="s">
        <v>66</v>
      </c>
      <c r="E243" s="10">
        <f t="shared" si="50"/>
        <v>0</v>
      </c>
      <c r="F243" s="142">
        <v>19138</v>
      </c>
      <c r="G243" s="10">
        <f t="shared" si="51"/>
        <v>0</v>
      </c>
      <c r="H243" s="10">
        <f t="shared" si="52"/>
        <v>0</v>
      </c>
      <c r="I243" s="144"/>
      <c r="J243" s="79" t="s">
        <v>227</v>
      </c>
      <c r="K243" s="80">
        <v>6811</v>
      </c>
      <c r="L243" s="142"/>
      <c r="M243" s="142"/>
    </row>
    <row r="244" spans="1:13" x14ac:dyDescent="0.2">
      <c r="A244" s="42">
        <v>44599</v>
      </c>
      <c r="B244" s="43" t="s">
        <v>400</v>
      </c>
      <c r="C244" s="147" t="s">
        <v>81</v>
      </c>
      <c r="E244" s="10">
        <f t="shared" si="50"/>
        <v>0</v>
      </c>
      <c r="F244" s="142"/>
      <c r="G244" s="10">
        <v>48533.2</v>
      </c>
      <c r="H244" s="10">
        <f t="shared" si="52"/>
        <v>0</v>
      </c>
      <c r="I244" s="144"/>
      <c r="J244" s="79" t="s">
        <v>55</v>
      </c>
      <c r="L244" s="142"/>
      <c r="M244" s="142"/>
    </row>
    <row r="245" spans="1:13" x14ac:dyDescent="0.2">
      <c r="A245" s="42">
        <v>44609</v>
      </c>
      <c r="B245" s="43" t="s">
        <v>401</v>
      </c>
      <c r="C245" s="147" t="s">
        <v>66</v>
      </c>
      <c r="E245" s="10">
        <f t="shared" si="50"/>
        <v>0</v>
      </c>
      <c r="F245" s="142">
        <v>232479.35999999999</v>
      </c>
      <c r="G245" s="10">
        <f t="shared" si="51"/>
        <v>232479.35999999999</v>
      </c>
      <c r="H245" s="10">
        <f t="shared" si="52"/>
        <v>0</v>
      </c>
      <c r="I245" s="144"/>
      <c r="K245" s="80">
        <v>6811</v>
      </c>
      <c r="L245" s="142"/>
      <c r="M245" s="142"/>
    </row>
    <row r="246" spans="1:13" x14ac:dyDescent="0.2">
      <c r="A246" s="42">
        <v>44601</v>
      </c>
      <c r="B246" s="43" t="s">
        <v>402</v>
      </c>
      <c r="C246" s="147" t="s">
        <v>66</v>
      </c>
      <c r="E246" s="10">
        <f t="shared" si="50"/>
        <v>0</v>
      </c>
      <c r="F246" s="142">
        <v>514205.08</v>
      </c>
      <c r="G246" s="10">
        <f t="shared" si="51"/>
        <v>0</v>
      </c>
      <c r="H246" s="10">
        <f t="shared" si="52"/>
        <v>0</v>
      </c>
      <c r="I246" s="144"/>
      <c r="J246" s="79" t="s">
        <v>227</v>
      </c>
      <c r="K246" s="80">
        <v>6811</v>
      </c>
      <c r="L246" s="142"/>
      <c r="M246" s="142"/>
    </row>
    <row r="247" spans="1:13" x14ac:dyDescent="0.2">
      <c r="A247" s="42">
        <v>44607</v>
      </c>
      <c r="B247" s="43" t="s">
        <v>403</v>
      </c>
      <c r="C247" s="147" t="s">
        <v>66</v>
      </c>
      <c r="E247" s="10"/>
      <c r="F247" s="142">
        <v>27070</v>
      </c>
      <c r="G247" s="10">
        <f t="shared" si="51"/>
        <v>0</v>
      </c>
      <c r="H247" s="10">
        <f t="shared" si="52"/>
        <v>0</v>
      </c>
      <c r="I247" s="144"/>
      <c r="J247" s="79" t="s">
        <v>227</v>
      </c>
      <c r="K247" s="80">
        <v>6811</v>
      </c>
      <c r="L247" s="142"/>
      <c r="M247" s="142"/>
    </row>
    <row r="248" spans="1:13" x14ac:dyDescent="0.2">
      <c r="A248" s="42">
        <v>44607</v>
      </c>
      <c r="B248" s="143" t="s">
        <v>413</v>
      </c>
      <c r="C248" s="147" t="s">
        <v>41</v>
      </c>
      <c r="E248" s="10">
        <f t="shared" si="50"/>
        <v>0</v>
      </c>
      <c r="F248" s="142"/>
      <c r="G248" s="10">
        <f t="shared" si="51"/>
        <v>0</v>
      </c>
      <c r="H248" s="10">
        <f t="shared" si="52"/>
        <v>0</v>
      </c>
      <c r="I248" s="144"/>
      <c r="L248" s="142">
        <v>1106445.6499999999</v>
      </c>
      <c r="M248" s="142"/>
    </row>
    <row r="249" spans="1:13" x14ac:dyDescent="0.2">
      <c r="A249" s="42">
        <v>44610</v>
      </c>
      <c r="B249" s="43" t="s">
        <v>404</v>
      </c>
      <c r="C249" s="147" t="s">
        <v>66</v>
      </c>
      <c r="E249" s="10">
        <f t="shared" si="50"/>
        <v>0</v>
      </c>
      <c r="F249" s="142">
        <v>17626.5</v>
      </c>
      <c r="G249" s="10">
        <f t="shared" si="51"/>
        <v>0</v>
      </c>
      <c r="H249" s="10">
        <f t="shared" si="52"/>
        <v>0</v>
      </c>
      <c r="I249" s="144"/>
      <c r="J249" s="79" t="s">
        <v>92</v>
      </c>
      <c r="K249" s="80">
        <v>6861</v>
      </c>
      <c r="L249" s="142"/>
      <c r="M249" s="142"/>
    </row>
    <row r="250" spans="1:13" x14ac:dyDescent="0.2">
      <c r="A250" s="42">
        <v>44609</v>
      </c>
      <c r="B250" s="43" t="s">
        <v>405</v>
      </c>
      <c r="C250" s="147" t="s">
        <v>66</v>
      </c>
      <c r="E250" s="10">
        <f t="shared" si="50"/>
        <v>0</v>
      </c>
      <c r="F250" s="142">
        <v>663503.89</v>
      </c>
      <c r="G250" s="10">
        <f t="shared" si="51"/>
        <v>0</v>
      </c>
      <c r="H250" s="10">
        <f t="shared" si="52"/>
        <v>0</v>
      </c>
      <c r="I250" s="144"/>
      <c r="J250" s="79" t="s">
        <v>227</v>
      </c>
      <c r="K250" s="80">
        <v>6811</v>
      </c>
      <c r="L250" s="142"/>
      <c r="M250" s="142"/>
    </row>
    <row r="251" spans="1:13" x14ac:dyDescent="0.2">
      <c r="A251" s="42">
        <v>44610</v>
      </c>
      <c r="B251" s="43" t="s">
        <v>406</v>
      </c>
      <c r="C251" s="147" t="s">
        <v>66</v>
      </c>
      <c r="E251" s="10">
        <f t="shared" si="50"/>
        <v>0</v>
      </c>
      <c r="F251" s="142">
        <v>34927</v>
      </c>
      <c r="G251" s="10">
        <f t="shared" si="51"/>
        <v>0</v>
      </c>
      <c r="H251" s="10">
        <f t="shared" si="52"/>
        <v>0</v>
      </c>
      <c r="I251" s="144"/>
      <c r="J251" s="79" t="s">
        <v>227</v>
      </c>
      <c r="K251" s="80">
        <v>6811</v>
      </c>
      <c r="L251" s="142"/>
      <c r="M251" s="142"/>
    </row>
    <row r="252" spans="1:13" x14ac:dyDescent="0.2">
      <c r="A252" s="42">
        <v>44610</v>
      </c>
      <c r="B252" s="43" t="s">
        <v>407</v>
      </c>
      <c r="C252" s="147" t="s">
        <v>66</v>
      </c>
      <c r="E252" s="10">
        <f t="shared" si="50"/>
        <v>0</v>
      </c>
      <c r="F252" s="142">
        <v>400548.12</v>
      </c>
      <c r="G252" s="10">
        <f t="shared" si="51"/>
        <v>0</v>
      </c>
      <c r="H252" s="10">
        <f t="shared" si="52"/>
        <v>0</v>
      </c>
      <c r="I252" s="144"/>
      <c r="J252" s="79" t="s">
        <v>227</v>
      </c>
      <c r="K252" s="80">
        <v>6811</v>
      </c>
      <c r="L252" s="142"/>
      <c r="M252" s="142"/>
    </row>
    <row r="253" spans="1:13" x14ac:dyDescent="0.2">
      <c r="A253" s="42">
        <v>44614</v>
      </c>
      <c r="B253" s="43" t="s">
        <v>408</v>
      </c>
      <c r="C253" s="147" t="s">
        <v>66</v>
      </c>
      <c r="E253" s="10">
        <f t="shared" si="50"/>
        <v>0</v>
      </c>
      <c r="F253" s="142">
        <v>21085</v>
      </c>
      <c r="G253" s="10">
        <f t="shared" si="51"/>
        <v>0</v>
      </c>
      <c r="H253" s="10">
        <f t="shared" si="52"/>
        <v>0</v>
      </c>
      <c r="I253" s="144"/>
      <c r="J253" s="79" t="s">
        <v>227</v>
      </c>
      <c r="K253" s="80">
        <v>6811</v>
      </c>
      <c r="L253" s="142"/>
      <c r="M253" s="142"/>
    </row>
    <row r="254" spans="1:13" x14ac:dyDescent="0.2">
      <c r="A254" s="42">
        <v>44614</v>
      </c>
      <c r="B254" s="43" t="s">
        <v>409</v>
      </c>
      <c r="C254" s="147" t="s">
        <v>66</v>
      </c>
      <c r="E254" s="10">
        <f t="shared" si="50"/>
        <v>0</v>
      </c>
      <c r="F254" s="142">
        <v>8</v>
      </c>
      <c r="G254" s="10">
        <f t="shared" si="51"/>
        <v>8</v>
      </c>
      <c r="H254" s="10">
        <f t="shared" si="52"/>
        <v>0</v>
      </c>
      <c r="I254" s="144"/>
      <c r="K254" s="80">
        <v>6879</v>
      </c>
      <c r="L254" s="142"/>
      <c r="M254" s="142"/>
    </row>
    <row r="255" spans="1:13" x14ac:dyDescent="0.2">
      <c r="A255" s="42">
        <v>44616</v>
      </c>
      <c r="B255" s="43" t="s">
        <v>410</v>
      </c>
      <c r="C255" s="147" t="s">
        <v>66</v>
      </c>
      <c r="E255" s="10">
        <f t="shared" si="50"/>
        <v>0</v>
      </c>
      <c r="F255" s="142">
        <v>1870</v>
      </c>
      <c r="G255" s="10">
        <f t="shared" si="51"/>
        <v>0</v>
      </c>
      <c r="H255" s="10">
        <f t="shared" si="52"/>
        <v>0</v>
      </c>
      <c r="I255" s="144"/>
      <c r="J255" s="79" t="s">
        <v>55</v>
      </c>
      <c r="K255" s="80">
        <v>6811</v>
      </c>
      <c r="L255" s="142"/>
      <c r="M255" s="142"/>
    </row>
    <row r="256" spans="1:13" x14ac:dyDescent="0.2">
      <c r="A256" s="42">
        <v>44621</v>
      </c>
      <c r="B256" s="143" t="s">
        <v>412</v>
      </c>
      <c r="C256" s="147" t="s">
        <v>41</v>
      </c>
      <c r="E256" s="10">
        <f t="shared" si="50"/>
        <v>0</v>
      </c>
      <c r="F256" s="142"/>
      <c r="G256" s="10">
        <f t="shared" si="51"/>
        <v>0</v>
      </c>
      <c r="H256" s="10">
        <f t="shared" si="52"/>
        <v>0</v>
      </c>
      <c r="I256" s="144">
        <v>74606.820000000007</v>
      </c>
      <c r="K256" s="80">
        <v>4760</v>
      </c>
      <c r="L256" s="142"/>
      <c r="M256" s="142"/>
    </row>
    <row r="257" spans="1:13" x14ac:dyDescent="0.2">
      <c r="A257" s="42">
        <v>44617</v>
      </c>
      <c r="B257" s="43" t="s">
        <v>414</v>
      </c>
      <c r="C257" s="147" t="s">
        <v>66</v>
      </c>
      <c r="E257" s="10">
        <f t="shared" si="50"/>
        <v>0</v>
      </c>
      <c r="F257" s="142">
        <v>2032.8</v>
      </c>
      <c r="G257" s="10">
        <f t="shared" si="51"/>
        <v>0</v>
      </c>
      <c r="H257" s="10">
        <f t="shared" si="52"/>
        <v>0</v>
      </c>
      <c r="I257" s="144"/>
      <c r="J257" s="79" t="s">
        <v>224</v>
      </c>
      <c r="K257" s="80">
        <v>6873</v>
      </c>
      <c r="L257" s="142"/>
      <c r="M257" s="142"/>
    </row>
    <row r="258" spans="1:13" x14ac:dyDescent="0.2">
      <c r="A258" s="42">
        <v>44624</v>
      </c>
      <c r="B258" s="43" t="s">
        <v>415</v>
      </c>
      <c r="C258" s="147" t="s">
        <v>66</v>
      </c>
      <c r="E258" s="10">
        <f t="shared" si="50"/>
        <v>0</v>
      </c>
      <c r="F258" s="142">
        <v>2150</v>
      </c>
      <c r="G258" s="10">
        <f t="shared" si="51"/>
        <v>0</v>
      </c>
      <c r="H258" s="10">
        <f t="shared" si="52"/>
        <v>0</v>
      </c>
      <c r="I258" s="144"/>
      <c r="J258" s="79" t="s">
        <v>47</v>
      </c>
      <c r="K258" s="80">
        <v>6849</v>
      </c>
      <c r="L258" s="142"/>
      <c r="M258" s="142"/>
    </row>
    <row r="259" spans="1:13" x14ac:dyDescent="0.2">
      <c r="A259" s="42">
        <v>44627</v>
      </c>
      <c r="B259" s="143" t="s">
        <v>416</v>
      </c>
      <c r="C259" s="147" t="s">
        <v>41</v>
      </c>
      <c r="E259" s="10">
        <f t="shared" si="50"/>
        <v>0</v>
      </c>
      <c r="F259" s="142"/>
      <c r="G259" s="10">
        <f t="shared" si="51"/>
        <v>0</v>
      </c>
      <c r="H259" s="10">
        <f t="shared" si="52"/>
        <v>0</v>
      </c>
      <c r="I259" s="144"/>
      <c r="L259" s="142">
        <v>1060021.3799999999</v>
      </c>
      <c r="M259" s="142"/>
    </row>
    <row r="260" spans="1:13" x14ac:dyDescent="0.2">
      <c r="A260" s="42">
        <v>44631</v>
      </c>
      <c r="B260" s="43" t="s">
        <v>417</v>
      </c>
      <c r="C260" s="147" t="s">
        <v>81</v>
      </c>
      <c r="E260" s="10">
        <f t="shared" si="50"/>
        <v>0</v>
      </c>
      <c r="F260" s="142"/>
      <c r="G260" s="10">
        <v>7100</v>
      </c>
      <c r="H260" s="10"/>
      <c r="I260" s="144"/>
      <c r="J260" s="79" t="s">
        <v>55</v>
      </c>
      <c r="L260" s="142"/>
      <c r="M260" s="142"/>
    </row>
    <row r="261" spans="1:13" x14ac:dyDescent="0.2">
      <c r="A261" s="42">
        <v>44645</v>
      </c>
      <c r="B261" s="43" t="s">
        <v>418</v>
      </c>
      <c r="C261" s="147" t="s">
        <v>66</v>
      </c>
      <c r="E261" s="10">
        <f t="shared" si="50"/>
        <v>0</v>
      </c>
      <c r="F261" s="142">
        <v>16341.26</v>
      </c>
      <c r="G261" s="10">
        <f t="shared" si="51"/>
        <v>0</v>
      </c>
      <c r="H261" s="10">
        <f t="shared" si="52"/>
        <v>0</v>
      </c>
      <c r="I261" s="144"/>
      <c r="J261" s="79" t="s">
        <v>92</v>
      </c>
      <c r="K261" s="80">
        <v>6861</v>
      </c>
      <c r="L261" s="142"/>
      <c r="M261" s="142"/>
    </row>
    <row r="262" spans="1:13" x14ac:dyDescent="0.2">
      <c r="A262" s="42">
        <v>44649</v>
      </c>
      <c r="B262" s="43" t="s">
        <v>419</v>
      </c>
      <c r="C262" s="147" t="s">
        <v>66</v>
      </c>
      <c r="E262" s="10">
        <f t="shared" si="50"/>
        <v>0</v>
      </c>
      <c r="F262" s="142">
        <v>8</v>
      </c>
      <c r="G262" s="10">
        <f t="shared" si="51"/>
        <v>8</v>
      </c>
      <c r="H262" s="10">
        <f t="shared" si="52"/>
        <v>0</v>
      </c>
      <c r="I262" s="144"/>
      <c r="K262" s="80">
        <v>6879</v>
      </c>
      <c r="L262" s="142"/>
      <c r="M262" s="142"/>
    </row>
    <row r="263" spans="1:13" x14ac:dyDescent="0.2">
      <c r="A263" s="42">
        <v>44649</v>
      </c>
      <c r="B263" s="43" t="s">
        <v>420</v>
      </c>
      <c r="C263" s="147" t="s">
        <v>117</v>
      </c>
      <c r="E263" s="10">
        <f t="shared" si="50"/>
        <v>0</v>
      </c>
      <c r="F263" s="142">
        <v>732.6</v>
      </c>
      <c r="G263" s="10">
        <f t="shared" si="51"/>
        <v>0</v>
      </c>
      <c r="H263" s="10">
        <f t="shared" si="52"/>
        <v>0</v>
      </c>
      <c r="I263" s="144"/>
      <c r="J263" s="79" t="s">
        <v>224</v>
      </c>
      <c r="K263" s="80">
        <v>6873</v>
      </c>
      <c r="L263" s="142"/>
      <c r="M263" s="142"/>
    </row>
    <row r="264" spans="1:13" x14ac:dyDescent="0.2">
      <c r="A264" s="42">
        <v>44652</v>
      </c>
      <c r="B264" s="143" t="s">
        <v>421</v>
      </c>
      <c r="C264" s="147" t="s">
        <v>41</v>
      </c>
      <c r="E264" s="10">
        <f t="shared" si="50"/>
        <v>0</v>
      </c>
      <c r="F264" s="142"/>
      <c r="G264" s="10">
        <f t="shared" si="51"/>
        <v>0</v>
      </c>
      <c r="H264" s="10">
        <f t="shared" si="52"/>
        <v>0</v>
      </c>
      <c r="I264" s="144">
        <v>1106445.6499999999</v>
      </c>
      <c r="K264" s="80">
        <v>4760</v>
      </c>
      <c r="L264" s="142"/>
      <c r="M264" s="142"/>
    </row>
    <row r="265" spans="1:13" x14ac:dyDescent="0.2">
      <c r="A265" s="42">
        <v>44644</v>
      </c>
      <c r="B265" s="143" t="s">
        <v>422</v>
      </c>
      <c r="C265" s="147" t="s">
        <v>41</v>
      </c>
      <c r="E265" s="10">
        <f t="shared" si="50"/>
        <v>0</v>
      </c>
      <c r="F265" s="142"/>
      <c r="G265" s="10">
        <f t="shared" si="51"/>
        <v>0</v>
      </c>
      <c r="H265" s="10">
        <f t="shared" si="52"/>
        <v>0</v>
      </c>
      <c r="I265" s="144"/>
      <c r="L265" s="142">
        <v>15831.36</v>
      </c>
      <c r="M265" s="142"/>
    </row>
    <row r="266" spans="1:13" x14ac:dyDescent="0.2">
      <c r="A266" s="42">
        <v>44662</v>
      </c>
      <c r="B266" s="43" t="s">
        <v>423</v>
      </c>
      <c r="C266" s="147" t="s">
        <v>66</v>
      </c>
      <c r="E266" s="10">
        <f t="shared" si="50"/>
        <v>0</v>
      </c>
      <c r="F266" s="142">
        <v>10909.1</v>
      </c>
      <c r="G266" s="10">
        <f t="shared" si="51"/>
        <v>0</v>
      </c>
      <c r="H266" s="10">
        <f t="shared" si="52"/>
        <v>0</v>
      </c>
      <c r="I266" s="144"/>
      <c r="J266" s="79" t="s">
        <v>92</v>
      </c>
      <c r="K266" s="80">
        <v>6861</v>
      </c>
      <c r="L266" s="142"/>
      <c r="M266" s="142"/>
    </row>
    <row r="267" spans="1:13" x14ac:dyDescent="0.2">
      <c r="A267" s="42">
        <v>44673</v>
      </c>
      <c r="B267" s="8" t="s">
        <v>424</v>
      </c>
      <c r="C267" s="147" t="s">
        <v>66</v>
      </c>
      <c r="D267" s="144">
        <v>122051.08</v>
      </c>
      <c r="E267" s="145">
        <f t="shared" si="50"/>
        <v>122051.08</v>
      </c>
      <c r="F267" s="144"/>
      <c r="G267" s="10">
        <f t="shared" si="51"/>
        <v>0</v>
      </c>
      <c r="H267" s="145">
        <f t="shared" si="52"/>
        <v>122051.08</v>
      </c>
      <c r="I267" s="144"/>
      <c r="K267" s="80">
        <v>4761</v>
      </c>
      <c r="L267" s="142"/>
      <c r="M267" s="142"/>
    </row>
    <row r="268" spans="1:13" x14ac:dyDescent="0.2">
      <c r="A268" s="42">
        <v>44652</v>
      </c>
      <c r="B268" s="43" t="s">
        <v>425</v>
      </c>
      <c r="C268" s="147" t="s">
        <v>81</v>
      </c>
      <c r="D268" s="144"/>
      <c r="E268" s="10">
        <f t="shared" si="50"/>
        <v>0</v>
      </c>
      <c r="F268" s="144"/>
      <c r="G268" s="145">
        <v>122051.08</v>
      </c>
      <c r="H268" s="10">
        <f t="shared" si="52"/>
        <v>0</v>
      </c>
      <c r="I268" s="144"/>
      <c r="J268" s="79" t="s">
        <v>55</v>
      </c>
      <c r="L268" s="142"/>
      <c r="M268" s="142"/>
    </row>
    <row r="269" spans="1:13" x14ac:dyDescent="0.2">
      <c r="A269" s="42">
        <v>44678</v>
      </c>
      <c r="B269" s="43" t="s">
        <v>426</v>
      </c>
      <c r="C269" s="147" t="s">
        <v>66</v>
      </c>
      <c r="D269" s="144"/>
      <c r="E269" s="10">
        <f t="shared" si="50"/>
        <v>0</v>
      </c>
      <c r="F269" s="144">
        <v>1558.35</v>
      </c>
      <c r="G269" s="10">
        <f t="shared" si="51"/>
        <v>0</v>
      </c>
      <c r="H269" s="10">
        <f t="shared" si="52"/>
        <v>0</v>
      </c>
      <c r="I269" s="144"/>
      <c r="J269" s="79" t="s">
        <v>224</v>
      </c>
      <c r="K269" s="80">
        <v>6873</v>
      </c>
      <c r="L269" s="142"/>
      <c r="M269" s="142"/>
    </row>
    <row r="270" spans="1:13" x14ac:dyDescent="0.2">
      <c r="A270" s="42">
        <v>44683</v>
      </c>
      <c r="B270" s="43" t="s">
        <v>427</v>
      </c>
      <c r="C270" s="147" t="s">
        <v>66</v>
      </c>
      <c r="D270" s="144"/>
      <c r="E270" s="10">
        <f t="shared" si="50"/>
        <v>0</v>
      </c>
      <c r="F270" s="144">
        <v>39806</v>
      </c>
      <c r="G270" s="10">
        <f t="shared" si="51"/>
        <v>0</v>
      </c>
      <c r="H270" s="10">
        <f t="shared" si="52"/>
        <v>0</v>
      </c>
      <c r="I270" s="144"/>
      <c r="J270" s="79" t="s">
        <v>55</v>
      </c>
      <c r="K270" s="80">
        <v>6811</v>
      </c>
      <c r="L270" s="142"/>
      <c r="M270" s="142"/>
    </row>
    <row r="271" spans="1:13" x14ac:dyDescent="0.2">
      <c r="A271" s="42">
        <v>44684</v>
      </c>
      <c r="B271" s="43" t="s">
        <v>428</v>
      </c>
      <c r="C271" s="147" t="s">
        <v>66</v>
      </c>
      <c r="D271" s="144"/>
      <c r="E271" s="10">
        <f t="shared" si="50"/>
        <v>0</v>
      </c>
      <c r="F271" s="144">
        <v>221585.02</v>
      </c>
      <c r="G271" s="10">
        <f t="shared" si="51"/>
        <v>0</v>
      </c>
      <c r="H271" s="10">
        <f t="shared" si="52"/>
        <v>0</v>
      </c>
      <c r="I271" s="144"/>
      <c r="J271" s="79" t="s">
        <v>227</v>
      </c>
      <c r="K271" s="80">
        <v>6811</v>
      </c>
      <c r="L271" s="142"/>
      <c r="M271" s="142"/>
    </row>
    <row r="272" spans="1:13" x14ac:dyDescent="0.2">
      <c r="A272" s="42">
        <v>44680</v>
      </c>
      <c r="B272" s="43" t="s">
        <v>429</v>
      </c>
      <c r="C272" s="147" t="s">
        <v>66</v>
      </c>
      <c r="D272" s="144"/>
      <c r="E272" s="10">
        <f t="shared" si="50"/>
        <v>0</v>
      </c>
      <c r="F272" s="144">
        <v>11667</v>
      </c>
      <c r="G272" s="10">
        <f t="shared" si="51"/>
        <v>0</v>
      </c>
      <c r="H272" s="10">
        <f t="shared" si="52"/>
        <v>0</v>
      </c>
      <c r="I272" s="144"/>
      <c r="J272" s="79" t="s">
        <v>227</v>
      </c>
      <c r="K272" s="80">
        <v>6811</v>
      </c>
      <c r="L272" s="142"/>
      <c r="M272" s="142"/>
    </row>
    <row r="273" spans="1:13" x14ac:dyDescent="0.2">
      <c r="A273" s="42">
        <v>44680</v>
      </c>
      <c r="B273" s="143" t="s">
        <v>430</v>
      </c>
      <c r="C273" s="147" t="s">
        <v>41</v>
      </c>
      <c r="D273" s="144"/>
      <c r="E273" s="10">
        <f t="shared" si="50"/>
        <v>0</v>
      </c>
      <c r="F273" s="144"/>
      <c r="G273" s="10">
        <f t="shared" si="51"/>
        <v>0</v>
      </c>
      <c r="H273" s="10">
        <f t="shared" si="52"/>
        <v>0</v>
      </c>
      <c r="I273" s="144"/>
      <c r="L273" s="142">
        <v>264623.18</v>
      </c>
      <c r="M273" s="142"/>
    </row>
    <row r="274" spans="1:13" x14ac:dyDescent="0.2">
      <c r="A274" s="42">
        <v>44691</v>
      </c>
      <c r="B274" s="43" t="s">
        <v>431</v>
      </c>
      <c r="C274" s="147" t="s">
        <v>66</v>
      </c>
      <c r="D274" s="144"/>
      <c r="E274" s="10">
        <f t="shared" si="50"/>
        <v>0</v>
      </c>
      <c r="F274" s="144">
        <v>11249.62</v>
      </c>
      <c r="G274" s="10">
        <f t="shared" si="51"/>
        <v>0</v>
      </c>
      <c r="H274" s="10">
        <f t="shared" si="52"/>
        <v>0</v>
      </c>
      <c r="I274" s="144"/>
      <c r="J274" s="79" t="s">
        <v>92</v>
      </c>
      <c r="K274" s="80">
        <v>6861</v>
      </c>
      <c r="L274" s="142"/>
      <c r="M274" s="142"/>
    </row>
    <row r="275" spans="1:13" x14ac:dyDescent="0.2">
      <c r="A275" s="42">
        <v>44692</v>
      </c>
      <c r="B275" s="143" t="s">
        <v>432</v>
      </c>
      <c r="C275" s="147" t="s">
        <v>41</v>
      </c>
      <c r="D275" s="144"/>
      <c r="E275" s="10">
        <f t="shared" si="50"/>
        <v>0</v>
      </c>
      <c r="F275" s="144"/>
      <c r="G275" s="10">
        <f t="shared" si="51"/>
        <v>0</v>
      </c>
      <c r="H275" s="10">
        <f t="shared" si="52"/>
        <v>0</v>
      </c>
      <c r="I275" s="144">
        <v>1060021.3799999999</v>
      </c>
      <c r="K275" s="80">
        <v>4760</v>
      </c>
      <c r="L275" s="142"/>
      <c r="M275" s="142"/>
    </row>
    <row r="276" spans="1:13" x14ac:dyDescent="0.2">
      <c r="A276" s="42">
        <v>44693</v>
      </c>
      <c r="B276" s="143" t="s">
        <v>433</v>
      </c>
      <c r="C276" s="147" t="s">
        <v>41</v>
      </c>
      <c r="D276" s="144"/>
      <c r="E276" s="10">
        <f t="shared" si="50"/>
        <v>0</v>
      </c>
      <c r="F276" s="144"/>
      <c r="G276" s="10">
        <f t="shared" si="51"/>
        <v>0</v>
      </c>
      <c r="H276" s="10">
        <f t="shared" si="52"/>
        <v>0</v>
      </c>
      <c r="I276" s="144">
        <v>15831.36</v>
      </c>
      <c r="K276" s="80">
        <v>4760</v>
      </c>
      <c r="L276" s="142"/>
      <c r="M276" s="142"/>
    </row>
    <row r="277" spans="1:13" x14ac:dyDescent="0.2">
      <c r="A277" s="42">
        <v>44701</v>
      </c>
      <c r="B277" s="43" t="s">
        <v>434</v>
      </c>
      <c r="C277" s="147" t="s">
        <v>117</v>
      </c>
      <c r="D277" s="144"/>
      <c r="E277" s="10">
        <f t="shared" si="50"/>
        <v>0</v>
      </c>
      <c r="F277" s="144">
        <v>546533.32999999996</v>
      </c>
      <c r="G277" s="10">
        <f t="shared" si="51"/>
        <v>0</v>
      </c>
      <c r="H277" s="10">
        <f t="shared" si="52"/>
        <v>0</v>
      </c>
      <c r="I277" s="144"/>
      <c r="J277" s="79" t="s">
        <v>227</v>
      </c>
      <c r="K277" s="80">
        <v>6811</v>
      </c>
      <c r="L277" s="142"/>
      <c r="M277" s="142"/>
    </row>
    <row r="278" spans="1:13" x14ac:dyDescent="0.2">
      <c r="A278" s="42">
        <v>44714</v>
      </c>
      <c r="B278" s="43" t="s">
        <v>435</v>
      </c>
      <c r="C278" s="147" t="s">
        <v>117</v>
      </c>
      <c r="D278" s="144"/>
      <c r="E278" s="10">
        <f t="shared" si="50"/>
        <v>0</v>
      </c>
      <c r="F278" s="144">
        <v>28771</v>
      </c>
      <c r="G278" s="10">
        <f t="shared" si="51"/>
        <v>0</v>
      </c>
      <c r="H278" s="10">
        <f t="shared" si="52"/>
        <v>0</v>
      </c>
      <c r="I278" s="144"/>
      <c r="J278" s="79" t="s">
        <v>227</v>
      </c>
      <c r="K278" s="80">
        <v>6811</v>
      </c>
      <c r="L278" s="142"/>
      <c r="M278" s="142"/>
    </row>
    <row r="279" spans="1:13" x14ac:dyDescent="0.2">
      <c r="A279" s="42">
        <v>44714</v>
      </c>
      <c r="B279" s="43" t="s">
        <v>436</v>
      </c>
      <c r="C279" s="147" t="s">
        <v>117</v>
      </c>
      <c r="D279" s="144"/>
      <c r="E279" s="10">
        <f t="shared" si="50"/>
        <v>0</v>
      </c>
      <c r="F279" s="144">
        <v>15653</v>
      </c>
      <c r="G279" s="10">
        <f t="shared" si="51"/>
        <v>0</v>
      </c>
      <c r="H279" s="10">
        <f t="shared" si="52"/>
        <v>0</v>
      </c>
      <c r="I279" s="144"/>
      <c r="J279" s="79" t="s">
        <v>47</v>
      </c>
      <c r="K279" s="80">
        <v>6849</v>
      </c>
      <c r="L279" s="142"/>
      <c r="M279" s="142"/>
    </row>
    <row r="280" spans="1:13" x14ac:dyDescent="0.2">
      <c r="A280" s="42">
        <v>44718</v>
      </c>
      <c r="B280" s="43" t="s">
        <v>437</v>
      </c>
      <c r="C280" s="147" t="s">
        <v>117</v>
      </c>
      <c r="D280" s="144"/>
      <c r="E280" s="10">
        <f t="shared" si="50"/>
        <v>0</v>
      </c>
      <c r="F280" s="144">
        <v>265086.86</v>
      </c>
      <c r="G280" s="10">
        <f t="shared" si="51"/>
        <v>0</v>
      </c>
      <c r="H280" s="10">
        <f t="shared" si="52"/>
        <v>0</v>
      </c>
      <c r="I280" s="144"/>
      <c r="J280" s="79" t="s">
        <v>227</v>
      </c>
      <c r="K280" s="80">
        <v>6811</v>
      </c>
      <c r="L280" s="142"/>
      <c r="M280" s="142"/>
    </row>
    <row r="281" spans="1:13" x14ac:dyDescent="0.2">
      <c r="A281" s="42">
        <v>44719</v>
      </c>
      <c r="B281" s="43" t="s">
        <v>438</v>
      </c>
      <c r="C281" s="147" t="s">
        <v>117</v>
      </c>
      <c r="D281" s="144"/>
      <c r="E281" s="10">
        <f t="shared" si="50"/>
        <v>0</v>
      </c>
      <c r="F281" s="144">
        <v>13953</v>
      </c>
      <c r="G281" s="10">
        <f t="shared" si="51"/>
        <v>0</v>
      </c>
      <c r="H281" s="10">
        <f t="shared" si="52"/>
        <v>0</v>
      </c>
      <c r="I281" s="144"/>
      <c r="J281" s="79" t="s">
        <v>227</v>
      </c>
      <c r="K281" s="80">
        <v>6811</v>
      </c>
      <c r="L281" s="142"/>
      <c r="M281" s="142"/>
    </row>
    <row r="282" spans="1:13" x14ac:dyDescent="0.2">
      <c r="A282" s="42">
        <v>44719</v>
      </c>
      <c r="B282" s="43" t="s">
        <v>439</v>
      </c>
      <c r="C282" s="147" t="s">
        <v>117</v>
      </c>
      <c r="D282" s="144"/>
      <c r="E282" s="10">
        <f t="shared" si="50"/>
        <v>0</v>
      </c>
      <c r="F282" s="144">
        <v>8</v>
      </c>
      <c r="G282" s="10">
        <f t="shared" si="51"/>
        <v>8</v>
      </c>
      <c r="H282" s="10">
        <f t="shared" si="52"/>
        <v>0</v>
      </c>
      <c r="I282" s="144"/>
      <c r="K282" s="80">
        <v>6879</v>
      </c>
      <c r="L282" s="142"/>
      <c r="M282" s="142"/>
    </row>
    <row r="283" spans="1:13" x14ac:dyDescent="0.2">
      <c r="A283" s="42">
        <v>44720</v>
      </c>
      <c r="B283" s="143" t="s">
        <v>440</v>
      </c>
      <c r="C283" s="147" t="s">
        <v>117</v>
      </c>
      <c r="D283" s="144"/>
      <c r="E283" s="10">
        <f t="shared" si="50"/>
        <v>0</v>
      </c>
      <c r="F283" s="144"/>
      <c r="G283" s="10">
        <f t="shared" si="51"/>
        <v>0</v>
      </c>
      <c r="H283" s="10">
        <f t="shared" si="52"/>
        <v>0</v>
      </c>
      <c r="I283" s="144"/>
      <c r="L283" s="142">
        <v>816741.31</v>
      </c>
      <c r="M283" s="142"/>
    </row>
    <row r="284" spans="1:13" x14ac:dyDescent="0.2">
      <c r="A284" s="42">
        <v>44726</v>
      </c>
      <c r="B284" s="43" t="s">
        <v>441</v>
      </c>
      <c r="C284" s="147" t="s">
        <v>117</v>
      </c>
      <c r="D284" s="144"/>
      <c r="E284" s="10">
        <f t="shared" si="50"/>
        <v>0</v>
      </c>
      <c r="F284" s="144">
        <v>14297</v>
      </c>
      <c r="G284" s="10">
        <f t="shared" si="51"/>
        <v>0</v>
      </c>
      <c r="H284" s="10">
        <f t="shared" si="52"/>
        <v>0</v>
      </c>
      <c r="I284" s="144"/>
      <c r="J284" s="79" t="s">
        <v>227</v>
      </c>
      <c r="K284" s="80">
        <v>6811</v>
      </c>
      <c r="L284" s="142"/>
      <c r="M284" s="142"/>
    </row>
    <row r="285" spans="1:13" x14ac:dyDescent="0.2">
      <c r="A285" s="42">
        <v>44726</v>
      </c>
      <c r="B285" s="43" t="s">
        <v>442</v>
      </c>
      <c r="C285" s="147" t="s">
        <v>117</v>
      </c>
      <c r="D285" s="144"/>
      <c r="E285" s="10">
        <f t="shared" si="50"/>
        <v>0</v>
      </c>
      <c r="F285" s="144">
        <v>753</v>
      </c>
      <c r="G285" s="10">
        <f t="shared" si="51"/>
        <v>0</v>
      </c>
      <c r="H285" s="10">
        <f t="shared" si="52"/>
        <v>0</v>
      </c>
      <c r="I285" s="144"/>
      <c r="J285" s="79" t="s">
        <v>227</v>
      </c>
      <c r="K285" s="80">
        <v>6811</v>
      </c>
      <c r="L285" s="142"/>
      <c r="M285" s="142"/>
    </row>
    <row r="286" spans="1:13" x14ac:dyDescent="0.2">
      <c r="A286" s="42">
        <v>44726</v>
      </c>
      <c r="B286" s="43" t="s">
        <v>443</v>
      </c>
      <c r="C286" s="147" t="s">
        <v>117</v>
      </c>
      <c r="D286" s="144"/>
      <c r="E286" s="10">
        <f t="shared" si="50"/>
        <v>0</v>
      </c>
      <c r="F286" s="144">
        <v>3749.88</v>
      </c>
      <c r="G286" s="10">
        <f t="shared" si="51"/>
        <v>0</v>
      </c>
      <c r="H286" s="10">
        <f t="shared" si="52"/>
        <v>0</v>
      </c>
      <c r="I286" s="144"/>
      <c r="J286" s="79" t="s">
        <v>92</v>
      </c>
      <c r="K286" s="80">
        <v>6861</v>
      </c>
      <c r="L286" s="142"/>
      <c r="M286" s="142"/>
    </row>
    <row r="287" spans="1:13" x14ac:dyDescent="0.2">
      <c r="A287" s="42">
        <v>44734</v>
      </c>
      <c r="B287" s="43" t="s">
        <v>444</v>
      </c>
      <c r="C287" s="147" t="s">
        <v>117</v>
      </c>
      <c r="D287" s="144"/>
      <c r="E287" s="10">
        <f t="shared" si="50"/>
        <v>0</v>
      </c>
      <c r="F287" s="144">
        <v>455964.38</v>
      </c>
      <c r="G287" s="10">
        <f t="shared" si="51"/>
        <v>0</v>
      </c>
      <c r="H287" s="10">
        <f t="shared" si="52"/>
        <v>0</v>
      </c>
      <c r="I287" s="144"/>
      <c r="J287" s="79" t="s">
        <v>55</v>
      </c>
      <c r="K287" s="80">
        <v>6811</v>
      </c>
      <c r="L287" s="142"/>
      <c r="M287" s="142"/>
    </row>
    <row r="288" spans="1:13" x14ac:dyDescent="0.2">
      <c r="A288" s="42">
        <v>44742</v>
      </c>
      <c r="B288" s="43" t="s">
        <v>445</v>
      </c>
      <c r="C288" s="147" t="s">
        <v>117</v>
      </c>
      <c r="D288" s="144"/>
      <c r="E288" s="10">
        <f t="shared" si="50"/>
        <v>0</v>
      </c>
      <c r="F288" s="144">
        <v>28545.11</v>
      </c>
      <c r="G288" s="10">
        <f t="shared" si="51"/>
        <v>0</v>
      </c>
      <c r="H288" s="10">
        <f t="shared" si="52"/>
        <v>0</v>
      </c>
      <c r="I288" s="144"/>
      <c r="J288" s="79" t="s">
        <v>227</v>
      </c>
      <c r="K288" s="80">
        <v>6811</v>
      </c>
      <c r="L288" s="142"/>
      <c r="M288" s="142"/>
    </row>
    <row r="289" spans="1:13" x14ac:dyDescent="0.2">
      <c r="A289" s="42">
        <v>44742</v>
      </c>
      <c r="B289" s="43" t="s">
        <v>447</v>
      </c>
      <c r="C289" s="147" t="s">
        <v>117</v>
      </c>
      <c r="D289" s="144"/>
      <c r="E289" s="10">
        <f t="shared" si="50"/>
        <v>0</v>
      </c>
      <c r="F289" s="144">
        <v>1504</v>
      </c>
      <c r="G289" s="10">
        <f t="shared" si="51"/>
        <v>0</v>
      </c>
      <c r="H289" s="10">
        <f t="shared" si="52"/>
        <v>0</v>
      </c>
      <c r="I289" s="144"/>
      <c r="J289" s="79" t="s">
        <v>446</v>
      </c>
      <c r="K289" s="80">
        <v>6811</v>
      </c>
      <c r="L289" s="142"/>
      <c r="M289" s="142"/>
    </row>
    <row r="290" spans="1:13" x14ac:dyDescent="0.2">
      <c r="A290" s="42">
        <v>44742</v>
      </c>
      <c r="B290" s="43" t="s">
        <v>448</v>
      </c>
      <c r="C290" s="147" t="s">
        <v>117</v>
      </c>
      <c r="D290" s="144"/>
      <c r="E290" s="10">
        <f t="shared" si="50"/>
        <v>0</v>
      </c>
      <c r="F290" s="144">
        <f>8+8+8</f>
        <v>24</v>
      </c>
      <c r="G290" s="10">
        <f t="shared" si="51"/>
        <v>24</v>
      </c>
      <c r="H290" s="10">
        <f t="shared" si="52"/>
        <v>0</v>
      </c>
      <c r="I290" s="144"/>
      <c r="K290" s="80">
        <v>6879</v>
      </c>
      <c r="L290" s="142"/>
      <c r="M290" s="142"/>
    </row>
    <row r="291" spans="1:13" x14ac:dyDescent="0.2">
      <c r="A291" s="42">
        <v>44742</v>
      </c>
      <c r="B291" s="143" t="s">
        <v>452</v>
      </c>
      <c r="C291" s="147" t="s">
        <v>41</v>
      </c>
      <c r="D291" s="144"/>
      <c r="E291" s="10">
        <f t="shared" si="50"/>
        <v>0</v>
      </c>
      <c r="F291" s="144"/>
      <c r="G291" s="10">
        <f t="shared" si="51"/>
        <v>0</v>
      </c>
      <c r="H291" s="10">
        <f t="shared" si="52"/>
        <v>0</v>
      </c>
      <c r="I291" s="144"/>
      <c r="L291" s="142">
        <v>467880.87</v>
      </c>
      <c r="M291" s="142"/>
    </row>
    <row r="292" spans="1:13" x14ac:dyDescent="0.2">
      <c r="A292" s="42" t="s">
        <v>449</v>
      </c>
      <c r="B292" s="143" t="s">
        <v>450</v>
      </c>
      <c r="C292" s="147" t="s">
        <v>41</v>
      </c>
      <c r="D292" s="144"/>
      <c r="E292" s="10">
        <f t="shared" si="50"/>
        <v>0</v>
      </c>
      <c r="F292" s="144"/>
      <c r="G292" s="10">
        <f t="shared" si="51"/>
        <v>0</v>
      </c>
      <c r="H292" s="10">
        <f t="shared" si="52"/>
        <v>0</v>
      </c>
      <c r="I292" s="144">
        <v>264623.18</v>
      </c>
      <c r="K292" s="80">
        <v>4760</v>
      </c>
      <c r="L292" s="142"/>
      <c r="M292" s="142"/>
    </row>
    <row r="293" spans="1:13" x14ac:dyDescent="0.2">
      <c r="A293" s="42">
        <v>44735</v>
      </c>
      <c r="B293" s="43" t="s">
        <v>451</v>
      </c>
      <c r="C293" s="147" t="s">
        <v>117</v>
      </c>
      <c r="D293" s="144"/>
      <c r="E293" s="10">
        <f t="shared" si="50"/>
        <v>0</v>
      </c>
      <c r="F293" s="144">
        <v>326789.5</v>
      </c>
      <c r="G293" s="10">
        <f t="shared" si="51"/>
        <v>0</v>
      </c>
      <c r="H293" s="10">
        <f t="shared" si="52"/>
        <v>0</v>
      </c>
      <c r="I293" s="144"/>
      <c r="J293" s="79" t="s">
        <v>55</v>
      </c>
      <c r="K293" s="80">
        <v>6811</v>
      </c>
      <c r="L293" s="142"/>
      <c r="M293" s="142"/>
    </row>
    <row r="294" spans="1:13" x14ac:dyDescent="0.2">
      <c r="A294" s="42" t="s">
        <v>449</v>
      </c>
      <c r="B294" s="143" t="s">
        <v>453</v>
      </c>
      <c r="C294" s="147" t="s">
        <v>41</v>
      </c>
      <c r="D294" s="144"/>
      <c r="E294" s="10">
        <f t="shared" si="50"/>
        <v>0</v>
      </c>
      <c r="F294" s="144"/>
      <c r="G294" s="10">
        <f t="shared" si="51"/>
        <v>0</v>
      </c>
      <c r="H294" s="10">
        <f t="shared" si="52"/>
        <v>0</v>
      </c>
      <c r="I294" s="144"/>
      <c r="L294" s="142">
        <v>302866.42</v>
      </c>
      <c r="M294" s="142"/>
    </row>
    <row r="295" spans="1:13" x14ac:dyDescent="0.2">
      <c r="A295" s="42" t="s">
        <v>449</v>
      </c>
      <c r="D295" s="144"/>
      <c r="E295" s="10">
        <f t="shared" si="50"/>
        <v>0</v>
      </c>
      <c r="F295" s="144"/>
      <c r="G295" s="10">
        <f t="shared" si="51"/>
        <v>0</v>
      </c>
      <c r="H295" s="10">
        <f t="shared" si="52"/>
        <v>0</v>
      </c>
      <c r="I295" s="144"/>
      <c r="L295" s="142"/>
      <c r="M295" s="142"/>
    </row>
    <row r="296" spans="1:13" x14ac:dyDescent="0.2">
      <c r="D296" s="144"/>
      <c r="E296" s="10">
        <f t="shared" si="50"/>
        <v>0</v>
      </c>
      <c r="F296" s="144"/>
      <c r="G296" s="10">
        <f t="shared" si="51"/>
        <v>0</v>
      </c>
      <c r="H296" s="10">
        <f t="shared" si="52"/>
        <v>0</v>
      </c>
      <c r="I296" s="144"/>
      <c r="L296" s="142"/>
      <c r="M296" s="142"/>
    </row>
    <row r="297" spans="1:13" x14ac:dyDescent="0.2">
      <c r="D297" s="144"/>
      <c r="E297" s="10">
        <f t="shared" si="50"/>
        <v>0</v>
      </c>
      <c r="F297" s="144"/>
      <c r="G297" s="10">
        <f t="shared" si="51"/>
        <v>0</v>
      </c>
      <c r="H297" s="10">
        <f t="shared" si="52"/>
        <v>0</v>
      </c>
      <c r="I297" s="144"/>
      <c r="L297" s="142"/>
      <c r="M297" s="142"/>
    </row>
    <row r="298" spans="1:13" x14ac:dyDescent="0.2">
      <c r="A298" s="148" t="s">
        <v>454</v>
      </c>
      <c r="B298" s="143" t="s">
        <v>455</v>
      </c>
      <c r="C298" s="44" t="s">
        <v>41</v>
      </c>
      <c r="D298" s="144"/>
      <c r="E298" s="10">
        <f t="shared" si="50"/>
        <v>0</v>
      </c>
      <c r="F298" s="144"/>
      <c r="G298" s="10">
        <f t="shared" si="51"/>
        <v>0</v>
      </c>
      <c r="H298" s="10">
        <f t="shared" si="52"/>
        <v>0</v>
      </c>
      <c r="I298" s="144">
        <v>816741.31</v>
      </c>
      <c r="K298" s="80">
        <v>4760</v>
      </c>
      <c r="L298" s="142"/>
      <c r="M298" s="142"/>
    </row>
    <row r="299" spans="1:13" x14ac:dyDescent="0.2">
      <c r="A299" s="42">
        <v>44750</v>
      </c>
      <c r="B299" s="143" t="s">
        <v>456</v>
      </c>
      <c r="C299" s="44" t="s">
        <v>41</v>
      </c>
      <c r="D299" s="144"/>
      <c r="E299" s="10">
        <f t="shared" si="50"/>
        <v>0</v>
      </c>
      <c r="F299" s="144"/>
      <c r="G299" s="10">
        <f t="shared" si="51"/>
        <v>0</v>
      </c>
      <c r="H299" s="10">
        <f t="shared" si="52"/>
        <v>0</v>
      </c>
      <c r="I299" s="144">
        <v>302866.42</v>
      </c>
      <c r="K299" s="80">
        <v>4760</v>
      </c>
      <c r="L299" s="142"/>
      <c r="M299" s="142"/>
    </row>
    <row r="300" spans="1:13" x14ac:dyDescent="0.2">
      <c r="A300" s="42">
        <v>44777</v>
      </c>
      <c r="B300" s="143" t="s">
        <v>457</v>
      </c>
      <c r="C300" s="44" t="s">
        <v>41</v>
      </c>
      <c r="D300" s="144"/>
      <c r="E300" s="10"/>
      <c r="F300" s="144"/>
      <c r="G300" s="10">
        <f t="shared" si="51"/>
        <v>0</v>
      </c>
      <c r="H300" s="10">
        <f t="shared" si="52"/>
        <v>0</v>
      </c>
      <c r="I300" s="144">
        <v>467880.87</v>
      </c>
      <c r="K300" s="80">
        <v>4760</v>
      </c>
      <c r="L300" s="142"/>
      <c r="M300" s="142"/>
    </row>
    <row r="301" spans="1:13" x14ac:dyDescent="0.2">
      <c r="A301" s="42">
        <v>44777</v>
      </c>
      <c r="B301" s="43" t="s">
        <v>458</v>
      </c>
      <c r="C301" s="44" t="s">
        <v>81</v>
      </c>
      <c r="D301" s="144"/>
      <c r="E301" s="10">
        <f t="shared" si="50"/>
        <v>0</v>
      </c>
      <c r="F301" s="144"/>
      <c r="G301" s="10">
        <v>8337.7900000000009</v>
      </c>
      <c r="H301" s="10">
        <f t="shared" si="52"/>
        <v>0</v>
      </c>
      <c r="I301" s="144"/>
      <c r="J301" s="79" t="s">
        <v>227</v>
      </c>
      <c r="L301" s="142"/>
      <c r="M301" s="142"/>
    </row>
    <row r="302" spans="1:13" x14ac:dyDescent="0.2">
      <c r="A302" s="42">
        <v>44799</v>
      </c>
      <c r="B302" s="43" t="s">
        <v>459</v>
      </c>
      <c r="C302" s="44" t="s">
        <v>81</v>
      </c>
      <c r="D302" s="144"/>
      <c r="E302" s="10">
        <f t="shared" si="50"/>
        <v>0</v>
      </c>
      <c r="F302" s="144"/>
      <c r="G302" s="10">
        <v>23621.78</v>
      </c>
      <c r="H302" s="10">
        <f t="shared" si="52"/>
        <v>0</v>
      </c>
      <c r="I302" s="144"/>
      <c r="J302" s="79" t="s">
        <v>55</v>
      </c>
      <c r="L302" s="142"/>
      <c r="M302" s="142"/>
    </row>
    <row r="303" spans="1:13" x14ac:dyDescent="0.2">
      <c r="A303" s="42">
        <v>44799</v>
      </c>
      <c r="B303" s="43" t="s">
        <v>460</v>
      </c>
      <c r="C303" s="44" t="s">
        <v>66</v>
      </c>
      <c r="D303" s="144"/>
      <c r="E303" s="10">
        <f t="shared" si="50"/>
        <v>0</v>
      </c>
      <c r="F303" s="144">
        <v>13435.31</v>
      </c>
      <c r="G303" s="10">
        <f t="shared" si="51"/>
        <v>0</v>
      </c>
      <c r="H303" s="10">
        <f t="shared" si="52"/>
        <v>0</v>
      </c>
      <c r="I303" s="144"/>
      <c r="J303" s="79" t="s">
        <v>55</v>
      </c>
      <c r="K303" s="80">
        <v>6811</v>
      </c>
      <c r="L303" s="142"/>
      <c r="M303" s="142"/>
    </row>
    <row r="304" spans="1:13" x14ac:dyDescent="0.2">
      <c r="A304" s="42">
        <v>44810</v>
      </c>
      <c r="B304" s="43" t="s">
        <v>461</v>
      </c>
      <c r="C304" s="44" t="s">
        <v>66</v>
      </c>
      <c r="D304" s="144"/>
      <c r="E304" s="10">
        <f t="shared" si="50"/>
        <v>0</v>
      </c>
      <c r="F304" s="144">
        <v>936308.63</v>
      </c>
      <c r="G304" s="10">
        <f t="shared" si="51"/>
        <v>0</v>
      </c>
      <c r="H304" s="10">
        <f t="shared" si="52"/>
        <v>0</v>
      </c>
      <c r="I304" s="144"/>
      <c r="J304" s="79" t="s">
        <v>227</v>
      </c>
      <c r="K304" s="80">
        <v>6811</v>
      </c>
      <c r="L304" s="142"/>
      <c r="M304" s="142"/>
    </row>
    <row r="305" spans="1:13" x14ac:dyDescent="0.2">
      <c r="A305" s="42">
        <v>44816</v>
      </c>
      <c r="B305" s="143" t="s">
        <v>462</v>
      </c>
      <c r="C305" s="44" t="s">
        <v>41</v>
      </c>
      <c r="D305" s="144"/>
      <c r="E305" s="10">
        <f t="shared" ref="E305:E353" si="53">+D305</f>
        <v>0</v>
      </c>
      <c r="F305" s="144"/>
      <c r="G305" s="10">
        <f t="shared" ref="G305:G352" si="54">IF(J305&gt;0,0,F305)</f>
        <v>0</v>
      </c>
      <c r="H305" s="10">
        <f t="shared" ref="H305:H353" si="55">+D305</f>
        <v>0</v>
      </c>
      <c r="I305" s="144"/>
      <c r="L305" s="142">
        <v>880216.59</v>
      </c>
      <c r="M305" s="142"/>
    </row>
    <row r="306" spans="1:13" x14ac:dyDescent="0.2">
      <c r="A306" s="42">
        <v>44819</v>
      </c>
      <c r="B306" s="43" t="s">
        <v>463</v>
      </c>
      <c r="C306" s="44" t="s">
        <v>66</v>
      </c>
      <c r="D306" s="144"/>
      <c r="E306" s="10">
        <f t="shared" si="53"/>
        <v>0</v>
      </c>
      <c r="F306" s="144">
        <v>44997.11</v>
      </c>
      <c r="G306" s="10">
        <f t="shared" si="54"/>
        <v>0</v>
      </c>
      <c r="H306" s="10">
        <f t="shared" si="55"/>
        <v>0</v>
      </c>
      <c r="I306" s="144"/>
      <c r="J306" s="79" t="s">
        <v>227</v>
      </c>
      <c r="K306" s="80">
        <v>6811</v>
      </c>
      <c r="L306" s="142"/>
      <c r="M306" s="142"/>
    </row>
    <row r="307" spans="1:13" x14ac:dyDescent="0.2">
      <c r="A307" s="42">
        <v>44833</v>
      </c>
      <c r="B307" s="143" t="s">
        <v>467</v>
      </c>
      <c r="C307" s="44" t="s">
        <v>41</v>
      </c>
      <c r="D307" s="144"/>
      <c r="E307" s="10">
        <f t="shared" si="53"/>
        <v>0</v>
      </c>
      <c r="F307" s="144"/>
      <c r="G307" s="10">
        <f t="shared" si="54"/>
        <v>0</v>
      </c>
      <c r="H307" s="10">
        <f t="shared" si="55"/>
        <v>0</v>
      </c>
      <c r="I307" s="144"/>
      <c r="L307" s="142">
        <v>41703.040000000001</v>
      </c>
      <c r="M307" s="142"/>
    </row>
    <row r="308" spans="1:13" x14ac:dyDescent="0.2">
      <c r="A308" s="42">
        <v>44852</v>
      </c>
      <c r="B308" s="143" t="s">
        <v>464</v>
      </c>
      <c r="C308" s="44" t="s">
        <v>41</v>
      </c>
      <c r="D308" s="144"/>
      <c r="E308" s="10">
        <f t="shared" si="53"/>
        <v>0</v>
      </c>
      <c r="F308" s="144"/>
      <c r="G308" s="10">
        <f t="shared" si="54"/>
        <v>0</v>
      </c>
      <c r="H308" s="10">
        <f t="shared" si="55"/>
        <v>0</v>
      </c>
      <c r="I308" s="144">
        <v>880216.59</v>
      </c>
      <c r="K308" s="80">
        <v>4760</v>
      </c>
      <c r="L308" s="142"/>
      <c r="M308" s="142"/>
    </row>
    <row r="309" spans="1:13" x14ac:dyDescent="0.2">
      <c r="A309" s="42">
        <v>44855</v>
      </c>
      <c r="B309" s="43" t="s">
        <v>465</v>
      </c>
      <c r="C309" s="44" t="s">
        <v>66</v>
      </c>
      <c r="D309" s="144"/>
      <c r="E309" s="10">
        <f t="shared" si="53"/>
        <v>0</v>
      </c>
      <c r="F309" s="144">
        <v>259355.16</v>
      </c>
      <c r="G309" s="10">
        <f t="shared" si="54"/>
        <v>0</v>
      </c>
      <c r="H309" s="10">
        <f t="shared" si="55"/>
        <v>0</v>
      </c>
      <c r="I309" s="144"/>
      <c r="J309" s="79" t="s">
        <v>55</v>
      </c>
      <c r="K309" s="80">
        <v>6811</v>
      </c>
      <c r="L309" s="142"/>
      <c r="M309" s="142"/>
    </row>
    <row r="310" spans="1:13" x14ac:dyDescent="0.2">
      <c r="A310" s="42">
        <v>44861</v>
      </c>
      <c r="B310" s="43" t="s">
        <v>466</v>
      </c>
      <c r="C310" s="44" t="s">
        <v>81</v>
      </c>
      <c r="D310" s="144"/>
      <c r="E310" s="10">
        <f t="shared" si="53"/>
        <v>0</v>
      </c>
      <c r="F310" s="144"/>
      <c r="G310" s="149">
        <v>0</v>
      </c>
      <c r="H310" s="10">
        <f t="shared" si="55"/>
        <v>0</v>
      </c>
      <c r="I310" s="144"/>
      <c r="J310" s="79" t="s">
        <v>227</v>
      </c>
      <c r="L310" s="142"/>
      <c r="M310" s="142"/>
    </row>
    <row r="311" spans="1:13" x14ac:dyDescent="0.2">
      <c r="A311" s="42">
        <v>44869</v>
      </c>
      <c r="B311" s="143" t="s">
        <v>468</v>
      </c>
      <c r="C311" s="44" t="s">
        <v>41</v>
      </c>
      <c r="D311" s="144"/>
      <c r="E311" s="10">
        <f t="shared" si="53"/>
        <v>0</v>
      </c>
      <c r="F311" s="144"/>
      <c r="G311" s="10">
        <f t="shared" si="54"/>
        <v>0</v>
      </c>
      <c r="H311" s="10">
        <f t="shared" si="55"/>
        <v>0</v>
      </c>
      <c r="I311" s="144"/>
      <c r="L311" s="142">
        <v>240368.7</v>
      </c>
      <c r="M311" s="142">
        <f>259355.16*N321</f>
        <v>240461.36104169011</v>
      </c>
    </row>
    <row r="312" spans="1:13" x14ac:dyDescent="0.2">
      <c r="A312" s="42">
        <v>44883</v>
      </c>
      <c r="B312" s="143" t="s">
        <v>469</v>
      </c>
      <c r="C312" s="44" t="s">
        <v>41</v>
      </c>
      <c r="D312" s="144"/>
      <c r="E312" s="10">
        <f t="shared" si="53"/>
        <v>0</v>
      </c>
      <c r="F312" s="144"/>
      <c r="G312" s="10">
        <f t="shared" si="54"/>
        <v>0</v>
      </c>
      <c r="H312" s="10">
        <f t="shared" si="55"/>
        <v>0</v>
      </c>
      <c r="I312" s="144">
        <v>41703.040000000001</v>
      </c>
      <c r="K312" s="80">
        <v>4760</v>
      </c>
      <c r="L312" s="142"/>
      <c r="M312" s="142"/>
    </row>
    <row r="313" spans="1:13" x14ac:dyDescent="0.2">
      <c r="A313" s="42">
        <v>44894</v>
      </c>
      <c r="B313" s="43" t="s">
        <v>470</v>
      </c>
      <c r="C313" s="44" t="s">
        <v>66</v>
      </c>
      <c r="D313" s="144"/>
      <c r="E313" s="10">
        <f t="shared" si="53"/>
        <v>0</v>
      </c>
      <c r="F313" s="144">
        <v>13239</v>
      </c>
      <c r="G313" s="10">
        <f t="shared" si="54"/>
        <v>0</v>
      </c>
      <c r="H313" s="10">
        <f t="shared" si="55"/>
        <v>0</v>
      </c>
      <c r="I313" s="144"/>
      <c r="J313" s="79" t="s">
        <v>47</v>
      </c>
      <c r="K313" s="80">
        <v>6849</v>
      </c>
      <c r="L313" s="142"/>
      <c r="M313" s="142"/>
    </row>
    <row r="314" spans="1:13" x14ac:dyDescent="0.2">
      <c r="A314" s="42">
        <v>44907</v>
      </c>
      <c r="B314" s="43" t="s">
        <v>471</v>
      </c>
      <c r="C314" s="44" t="s">
        <v>66</v>
      </c>
      <c r="D314" s="144"/>
      <c r="E314" s="10">
        <f t="shared" si="53"/>
        <v>0</v>
      </c>
      <c r="F314" s="144">
        <v>144</v>
      </c>
      <c r="G314" s="10">
        <f t="shared" si="54"/>
        <v>0</v>
      </c>
      <c r="H314" s="10">
        <f t="shared" si="55"/>
        <v>0</v>
      </c>
      <c r="I314" s="144"/>
      <c r="J314" s="79" t="s">
        <v>55</v>
      </c>
      <c r="K314" s="80">
        <v>6811</v>
      </c>
      <c r="L314" s="142"/>
      <c r="M314" s="100" t="s">
        <v>116</v>
      </c>
    </row>
    <row r="315" spans="1:13" x14ac:dyDescent="0.2">
      <c r="A315" s="42">
        <v>44908</v>
      </c>
      <c r="B315" s="143" t="s">
        <v>474</v>
      </c>
      <c r="C315" s="44" t="s">
        <v>41</v>
      </c>
      <c r="D315" s="144"/>
      <c r="E315" s="10">
        <f t="shared" si="53"/>
        <v>0</v>
      </c>
      <c r="F315" s="144"/>
      <c r="G315" s="10">
        <f t="shared" si="54"/>
        <v>0</v>
      </c>
      <c r="H315" s="10">
        <f t="shared" si="55"/>
        <v>0</v>
      </c>
      <c r="I315" s="144"/>
      <c r="L315" s="142">
        <v>12403.27</v>
      </c>
      <c r="M315" s="142"/>
    </row>
    <row r="316" spans="1:13" x14ac:dyDescent="0.2">
      <c r="A316" s="42">
        <v>44911</v>
      </c>
      <c r="B316" s="43" t="s">
        <v>473</v>
      </c>
      <c r="C316" s="44" t="s">
        <v>81</v>
      </c>
      <c r="D316" s="144"/>
      <c r="E316" s="10">
        <f t="shared" si="53"/>
        <v>0</v>
      </c>
      <c r="F316" s="144"/>
      <c r="G316" s="10">
        <v>15710</v>
      </c>
      <c r="H316" s="10">
        <f t="shared" si="55"/>
        <v>0</v>
      </c>
      <c r="I316" s="144"/>
      <c r="J316" s="79" t="s">
        <v>92</v>
      </c>
      <c r="L316" s="142"/>
      <c r="M316" s="142"/>
    </row>
    <row r="317" spans="1:13" x14ac:dyDescent="0.2">
      <c r="A317" s="42">
        <v>44918</v>
      </c>
      <c r="B317" s="43" t="s">
        <v>475</v>
      </c>
      <c r="C317" s="44" t="s">
        <v>66</v>
      </c>
      <c r="D317" s="144"/>
      <c r="E317" s="10">
        <f t="shared" si="53"/>
        <v>0</v>
      </c>
      <c r="F317" s="144">
        <v>115169.77</v>
      </c>
      <c r="G317" s="10">
        <f t="shared" si="54"/>
        <v>0</v>
      </c>
      <c r="H317" s="10">
        <f t="shared" si="55"/>
        <v>0</v>
      </c>
      <c r="I317" s="144"/>
      <c r="J317" s="79" t="s">
        <v>55</v>
      </c>
      <c r="K317" s="80">
        <v>6811</v>
      </c>
      <c r="L317" s="142"/>
      <c r="M317" s="142"/>
    </row>
    <row r="318" spans="1:13" x14ac:dyDescent="0.2">
      <c r="A318" s="42">
        <v>44947</v>
      </c>
      <c r="B318" s="43" t="s">
        <v>476</v>
      </c>
      <c r="C318" s="44" t="s">
        <v>81</v>
      </c>
      <c r="D318" s="144"/>
      <c r="E318" s="10">
        <f t="shared" si="53"/>
        <v>0</v>
      </c>
      <c r="F318" s="144"/>
      <c r="G318" s="10">
        <v>-2079.64</v>
      </c>
      <c r="H318" s="10">
        <f t="shared" si="55"/>
        <v>0</v>
      </c>
      <c r="I318" s="144"/>
      <c r="J318" s="79" t="s">
        <v>227</v>
      </c>
      <c r="L318" s="142"/>
      <c r="M318" s="142"/>
    </row>
    <row r="319" spans="1:13" x14ac:dyDescent="0.2">
      <c r="A319" s="42">
        <v>44953</v>
      </c>
      <c r="B319" s="43" t="s">
        <v>477</v>
      </c>
      <c r="C319" s="44" t="s">
        <v>66</v>
      </c>
      <c r="D319" s="144"/>
      <c r="E319" s="10">
        <f t="shared" si="53"/>
        <v>0</v>
      </c>
      <c r="F319" s="144">
        <v>1483.13</v>
      </c>
      <c r="G319" s="10">
        <f t="shared" si="54"/>
        <v>0</v>
      </c>
      <c r="H319" s="10">
        <f t="shared" si="55"/>
        <v>0</v>
      </c>
      <c r="I319" s="144"/>
      <c r="J319" s="79" t="s">
        <v>55</v>
      </c>
      <c r="K319" s="80">
        <v>6811</v>
      </c>
      <c r="L319" s="142"/>
      <c r="M319" s="142"/>
    </row>
    <row r="320" spans="1:13" x14ac:dyDescent="0.2">
      <c r="A320" s="42">
        <v>44970</v>
      </c>
      <c r="B320" s="143" t="s">
        <v>481</v>
      </c>
      <c r="C320" s="44" t="s">
        <v>41</v>
      </c>
      <c r="D320" s="144"/>
      <c r="E320" s="10">
        <f t="shared" si="53"/>
        <v>0</v>
      </c>
      <c r="F320" s="144"/>
      <c r="G320" s="10">
        <f t="shared" si="54"/>
        <v>0</v>
      </c>
      <c r="H320" s="10">
        <f t="shared" si="55"/>
        <v>0</v>
      </c>
      <c r="I320" s="144"/>
      <c r="L320" s="142">
        <v>108113.16</v>
      </c>
      <c r="M320" s="142"/>
    </row>
    <row r="321" spans="1:14" x14ac:dyDescent="0.2">
      <c r="A321" s="42">
        <v>44985</v>
      </c>
      <c r="B321" s="143" t="s">
        <v>478</v>
      </c>
      <c r="C321" s="44" t="s">
        <v>41</v>
      </c>
      <c r="D321" s="144"/>
      <c r="E321" s="10">
        <f t="shared" si="53"/>
        <v>0</v>
      </c>
      <c r="F321" s="144"/>
      <c r="G321" s="10">
        <f t="shared" si="54"/>
        <v>0</v>
      </c>
      <c r="H321" s="10">
        <f t="shared" si="55"/>
        <v>0</v>
      </c>
      <c r="I321" s="144">
        <v>12403.27</v>
      </c>
      <c r="K321" s="80">
        <v>4760</v>
      </c>
      <c r="L321" s="142"/>
      <c r="M321" s="142"/>
      <c r="N321" s="45">
        <f>M2/M5</f>
        <v>0.92715086540668823</v>
      </c>
    </row>
    <row r="322" spans="1:14" x14ac:dyDescent="0.2">
      <c r="A322" s="42">
        <v>44950</v>
      </c>
      <c r="B322" s="143" t="s">
        <v>479</v>
      </c>
      <c r="C322" s="44" t="s">
        <v>41</v>
      </c>
      <c r="D322" s="144"/>
      <c r="E322" s="10">
        <f t="shared" si="53"/>
        <v>0</v>
      </c>
      <c r="F322" s="144"/>
      <c r="G322" s="10">
        <f t="shared" si="54"/>
        <v>0</v>
      </c>
      <c r="H322" s="10">
        <f t="shared" si="55"/>
        <v>0</v>
      </c>
      <c r="I322" s="144">
        <v>240368.7</v>
      </c>
      <c r="K322" s="80">
        <v>4760</v>
      </c>
      <c r="L322" s="142"/>
      <c r="M322" s="142"/>
    </row>
    <row r="323" spans="1:14" x14ac:dyDescent="0.2">
      <c r="A323" s="42">
        <v>44957</v>
      </c>
      <c r="B323" s="43" t="s">
        <v>480</v>
      </c>
      <c r="C323" s="44" t="s">
        <v>66</v>
      </c>
      <c r="D323" s="144"/>
      <c r="E323" s="10">
        <f>+D323</f>
        <v>0</v>
      </c>
      <c r="F323" s="144">
        <v>15710</v>
      </c>
      <c r="G323" s="10">
        <f>IF(J323&gt;0,0,F323)</f>
        <v>0</v>
      </c>
      <c r="H323" s="10">
        <f>+D323</f>
        <v>0</v>
      </c>
      <c r="I323" s="142"/>
      <c r="J323" s="79" t="s">
        <v>92</v>
      </c>
      <c r="K323" s="80">
        <v>6861</v>
      </c>
      <c r="L323" s="142"/>
      <c r="M323" s="142"/>
    </row>
    <row r="324" spans="1:14" x14ac:dyDescent="0.2">
      <c r="A324" s="42">
        <v>45006</v>
      </c>
      <c r="B324" s="143" t="s">
        <v>482</v>
      </c>
      <c r="C324" s="44" t="s">
        <v>41</v>
      </c>
      <c r="I324" s="142">
        <v>108113.16</v>
      </c>
      <c r="K324" s="80">
        <v>4760</v>
      </c>
      <c r="M324" s="142"/>
    </row>
    <row r="325" spans="1:14" x14ac:dyDescent="0.2">
      <c r="A325" s="42">
        <v>45026</v>
      </c>
      <c r="B325" s="143" t="s">
        <v>484</v>
      </c>
      <c r="C325" s="44" t="s">
        <v>41</v>
      </c>
      <c r="D325" s="144"/>
      <c r="E325" s="10">
        <f t="shared" si="53"/>
        <v>0</v>
      </c>
      <c r="F325" s="144"/>
      <c r="G325" s="10">
        <f t="shared" si="54"/>
        <v>0</v>
      </c>
      <c r="H325" s="10">
        <f t="shared" si="55"/>
        <v>0</v>
      </c>
      <c r="I325" s="142"/>
      <c r="L325" s="142">
        <v>14559.93</v>
      </c>
      <c r="M325" s="142"/>
    </row>
    <row r="326" spans="1:14" x14ac:dyDescent="0.2">
      <c r="A326" s="42">
        <v>45028</v>
      </c>
      <c r="B326" s="43" t="s">
        <v>483</v>
      </c>
      <c r="C326" s="44" t="s">
        <v>81</v>
      </c>
      <c r="D326" s="144"/>
      <c r="E326" s="10">
        <f t="shared" si="53"/>
        <v>0</v>
      </c>
      <c r="F326" s="144"/>
      <c r="G326" s="10">
        <v>15107.58</v>
      </c>
      <c r="H326" s="10">
        <f t="shared" si="55"/>
        <v>0</v>
      </c>
      <c r="I326" s="142"/>
      <c r="J326" s="79" t="s">
        <v>55</v>
      </c>
      <c r="L326" s="142"/>
      <c r="M326" s="142"/>
    </row>
    <row r="327" spans="1:14" x14ac:dyDescent="0.2">
      <c r="A327" s="42">
        <v>45008</v>
      </c>
      <c r="B327" s="143" t="s">
        <v>485</v>
      </c>
      <c r="C327" s="44" t="s">
        <v>41</v>
      </c>
      <c r="D327" s="144"/>
      <c r="E327" s="10">
        <f t="shared" si="53"/>
        <v>0</v>
      </c>
      <c r="F327" s="144"/>
      <c r="G327" s="10">
        <f t="shared" si="54"/>
        <v>0</v>
      </c>
      <c r="H327" s="10">
        <f t="shared" si="55"/>
        <v>0</v>
      </c>
      <c r="I327" s="142">
        <v>14559.93</v>
      </c>
      <c r="K327" s="80">
        <v>4760</v>
      </c>
      <c r="L327" s="142"/>
      <c r="M327" s="142"/>
    </row>
    <row r="328" spans="1:14" x14ac:dyDescent="0.2">
      <c r="A328" s="42">
        <v>45064</v>
      </c>
      <c r="B328" s="43" t="s">
        <v>486</v>
      </c>
      <c r="C328" s="44" t="s">
        <v>66</v>
      </c>
      <c r="D328" s="144"/>
      <c r="E328" s="10">
        <f t="shared" si="53"/>
        <v>0</v>
      </c>
      <c r="F328" s="144">
        <v>8</v>
      </c>
      <c r="G328" s="10">
        <f t="shared" si="54"/>
        <v>8</v>
      </c>
      <c r="H328" s="10">
        <f t="shared" si="55"/>
        <v>0</v>
      </c>
      <c r="I328" s="142"/>
      <c r="K328" s="80">
        <v>6879</v>
      </c>
      <c r="L328" s="142"/>
      <c r="M328" s="142"/>
    </row>
    <row r="329" spans="1:14" x14ac:dyDescent="0.2">
      <c r="A329" s="42">
        <v>45070</v>
      </c>
      <c r="B329" s="143" t="s">
        <v>489</v>
      </c>
      <c r="C329" s="44" t="s">
        <v>41</v>
      </c>
      <c r="D329" s="144"/>
      <c r="E329" s="10">
        <f t="shared" si="53"/>
        <v>0</v>
      </c>
      <c r="F329" s="144"/>
      <c r="G329" s="10">
        <f t="shared" si="54"/>
        <v>0</v>
      </c>
      <c r="H329" s="10">
        <f t="shared" si="55"/>
        <v>0</v>
      </c>
      <c r="I329" s="142"/>
      <c r="L329" s="142">
        <v>7.42</v>
      </c>
      <c r="M329" s="142">
        <f>8*P349</f>
        <v>7.4172069232535058</v>
      </c>
    </row>
    <row r="330" spans="1:14" ht="13.5" customHeight="1" x14ac:dyDescent="0.2">
      <c r="A330" s="42">
        <v>45092</v>
      </c>
      <c r="B330" s="43" t="s">
        <v>487</v>
      </c>
      <c r="C330" s="44" t="s">
        <v>81</v>
      </c>
      <c r="D330" s="144"/>
      <c r="E330" s="10">
        <f>+D330</f>
        <v>0</v>
      </c>
      <c r="F330" s="144"/>
      <c r="G330" s="10">
        <v>6085</v>
      </c>
      <c r="H330" s="10">
        <f>+D330</f>
        <v>0</v>
      </c>
      <c r="I330" s="142"/>
      <c r="J330" s="79" t="s">
        <v>55</v>
      </c>
      <c r="L330" s="142"/>
      <c r="M330" s="142"/>
    </row>
    <row r="331" spans="1:14" x14ac:dyDescent="0.2">
      <c r="A331" s="42">
        <v>45089</v>
      </c>
      <c r="B331" s="43" t="s">
        <v>488</v>
      </c>
      <c r="C331" s="44" t="s">
        <v>81</v>
      </c>
      <c r="D331" s="144"/>
      <c r="E331" s="10">
        <f t="shared" si="53"/>
        <v>0</v>
      </c>
      <c r="F331" s="144"/>
      <c r="G331" s="10">
        <v>71019.64</v>
      </c>
      <c r="H331" s="10">
        <f t="shared" si="55"/>
        <v>0</v>
      </c>
      <c r="I331" s="142"/>
      <c r="J331" s="79" t="s">
        <v>227</v>
      </c>
      <c r="L331" s="142"/>
    </row>
    <row r="332" spans="1:14" x14ac:dyDescent="0.2">
      <c r="A332" s="42">
        <v>45092</v>
      </c>
      <c r="B332" s="43" t="s">
        <v>491</v>
      </c>
      <c r="D332" s="144"/>
      <c r="E332" s="10">
        <f t="shared" si="53"/>
        <v>0</v>
      </c>
      <c r="F332" s="144">
        <v>7043.16</v>
      </c>
      <c r="G332" s="10">
        <f t="shared" si="54"/>
        <v>0</v>
      </c>
      <c r="H332" s="10">
        <f t="shared" si="55"/>
        <v>0</v>
      </c>
      <c r="I332" s="142"/>
      <c r="J332" s="79" t="s">
        <v>55</v>
      </c>
      <c r="K332" s="80">
        <v>6811</v>
      </c>
      <c r="L332" s="142"/>
    </row>
    <row r="333" spans="1:14" x14ac:dyDescent="0.2">
      <c r="A333" s="42" t="s">
        <v>490</v>
      </c>
      <c r="B333" s="43" t="s">
        <v>492</v>
      </c>
      <c r="D333" s="144"/>
      <c r="E333" s="10">
        <f t="shared" si="53"/>
        <v>0</v>
      </c>
      <c r="F333" s="144">
        <v>7043.16</v>
      </c>
      <c r="G333" s="10">
        <f t="shared" si="54"/>
        <v>0</v>
      </c>
      <c r="H333" s="10">
        <f t="shared" si="55"/>
        <v>0</v>
      </c>
      <c r="I333" s="142"/>
      <c r="J333" s="79" t="s">
        <v>55</v>
      </c>
      <c r="K333" s="80">
        <v>6811</v>
      </c>
      <c r="L333" s="142"/>
    </row>
    <row r="334" spans="1:14" s="158" customFormat="1" x14ac:dyDescent="0.2">
      <c r="A334" s="42" t="s">
        <v>490</v>
      </c>
      <c r="B334" s="151" t="s">
        <v>493</v>
      </c>
      <c r="C334" s="152"/>
      <c r="D334" s="153"/>
      <c r="E334" s="154">
        <f t="shared" si="53"/>
        <v>0</v>
      </c>
      <c r="F334" s="153">
        <v>8</v>
      </c>
      <c r="G334" s="154">
        <f t="shared" si="54"/>
        <v>8</v>
      </c>
      <c r="H334" s="154">
        <f t="shared" si="55"/>
        <v>0</v>
      </c>
      <c r="I334" s="155"/>
      <c r="J334" s="156"/>
      <c r="K334" s="157">
        <v>6879</v>
      </c>
      <c r="L334" s="155"/>
    </row>
    <row r="335" spans="1:14" x14ac:dyDescent="0.2">
      <c r="A335" s="150" t="s">
        <v>490</v>
      </c>
      <c r="B335" s="43" t="s">
        <v>494</v>
      </c>
      <c r="D335" s="144"/>
      <c r="E335" s="10">
        <f t="shared" si="53"/>
        <v>0</v>
      </c>
      <c r="F335" s="144">
        <v>163872.78</v>
      </c>
      <c r="G335" s="10">
        <f t="shared" si="54"/>
        <v>0</v>
      </c>
      <c r="H335" s="10">
        <f t="shared" si="55"/>
        <v>0</v>
      </c>
      <c r="I335" s="142"/>
      <c r="J335" s="79" t="s">
        <v>227</v>
      </c>
      <c r="K335" s="80">
        <v>6811</v>
      </c>
      <c r="L335" s="142"/>
    </row>
    <row r="336" spans="1:14" x14ac:dyDescent="0.2">
      <c r="A336" s="42" t="s">
        <v>490</v>
      </c>
      <c r="B336" s="43" t="s">
        <v>495</v>
      </c>
      <c r="D336" s="144"/>
      <c r="E336" s="10">
        <f t="shared" si="53"/>
        <v>0</v>
      </c>
      <c r="F336" s="144">
        <v>2217</v>
      </c>
      <c r="G336" s="10">
        <f t="shared" si="54"/>
        <v>0</v>
      </c>
      <c r="H336" s="10">
        <f t="shared" si="55"/>
        <v>0</v>
      </c>
      <c r="I336" s="142"/>
      <c r="J336" s="79" t="s">
        <v>227</v>
      </c>
      <c r="K336" s="80">
        <v>6811</v>
      </c>
      <c r="L336" s="142"/>
    </row>
    <row r="337" spans="1:16" x14ac:dyDescent="0.2">
      <c r="A337" s="42" t="s">
        <v>490</v>
      </c>
      <c r="B337" s="143" t="s">
        <v>500</v>
      </c>
      <c r="C337" s="44" t="s">
        <v>41</v>
      </c>
      <c r="D337" s="144"/>
      <c r="E337" s="10">
        <f t="shared" si="53"/>
        <v>0</v>
      </c>
      <c r="F337" s="144"/>
      <c r="G337" s="10">
        <f t="shared" si="54"/>
        <v>0</v>
      </c>
      <c r="H337" s="10">
        <f t="shared" si="55"/>
        <v>0</v>
      </c>
      <c r="I337" s="142"/>
      <c r="L337" s="142">
        <v>167727.49</v>
      </c>
      <c r="M337" s="142">
        <f>180184.1*P349</f>
        <v>167057.84424752527</v>
      </c>
    </row>
    <row r="338" spans="1:16" x14ac:dyDescent="0.2">
      <c r="A338" s="42" t="s">
        <v>490</v>
      </c>
      <c r="D338" s="144"/>
      <c r="E338" s="10">
        <f t="shared" si="53"/>
        <v>0</v>
      </c>
      <c r="F338" s="144"/>
      <c r="G338" s="10">
        <f t="shared" si="54"/>
        <v>0</v>
      </c>
      <c r="H338" s="10">
        <f t="shared" si="55"/>
        <v>0</v>
      </c>
      <c r="I338" s="142"/>
      <c r="L338" s="142"/>
      <c r="M338" s="142"/>
    </row>
    <row r="339" spans="1:16" x14ac:dyDescent="0.2">
      <c r="M339" s="142"/>
    </row>
    <row r="340" spans="1:16" x14ac:dyDescent="0.2">
      <c r="D340" s="144"/>
      <c r="E340" s="10">
        <f t="shared" si="53"/>
        <v>0</v>
      </c>
      <c r="F340" s="144"/>
      <c r="G340" s="10">
        <f t="shared" si="54"/>
        <v>0</v>
      </c>
      <c r="H340" s="10">
        <f t="shared" si="55"/>
        <v>0</v>
      </c>
      <c r="I340" s="142"/>
      <c r="L340" s="142"/>
      <c r="M340" s="142"/>
    </row>
    <row r="341" spans="1:16" x14ac:dyDescent="0.2">
      <c r="A341" s="148" t="s">
        <v>496</v>
      </c>
      <c r="B341" s="43" t="s">
        <v>497</v>
      </c>
      <c r="C341" s="44" t="s">
        <v>66</v>
      </c>
      <c r="D341" s="144"/>
      <c r="E341" s="10">
        <f t="shared" si="53"/>
        <v>0</v>
      </c>
      <c r="F341" s="144">
        <v>6250</v>
      </c>
      <c r="G341" s="10">
        <f t="shared" si="54"/>
        <v>0</v>
      </c>
      <c r="H341" s="10">
        <f t="shared" si="55"/>
        <v>0</v>
      </c>
      <c r="I341" s="142"/>
      <c r="J341" s="79" t="s">
        <v>55</v>
      </c>
      <c r="K341" s="80">
        <v>6811</v>
      </c>
      <c r="L341" s="142"/>
      <c r="M341" s="142"/>
    </row>
    <row r="342" spans="1:16" x14ac:dyDescent="0.2">
      <c r="A342" s="42">
        <v>45153</v>
      </c>
      <c r="B342" s="143" t="s">
        <v>498</v>
      </c>
      <c r="C342" s="44" t="s">
        <v>41</v>
      </c>
      <c r="D342" s="144"/>
      <c r="E342" s="10">
        <f t="shared" si="53"/>
        <v>0</v>
      </c>
      <c r="F342" s="144"/>
      <c r="G342" s="10">
        <f t="shared" si="54"/>
        <v>0</v>
      </c>
      <c r="H342" s="10">
        <f t="shared" si="55"/>
        <v>0</v>
      </c>
      <c r="I342" s="142">
        <v>7.42</v>
      </c>
      <c r="K342" s="80">
        <v>4760</v>
      </c>
      <c r="L342" s="142"/>
      <c r="M342" s="142"/>
    </row>
    <row r="343" spans="1:16" x14ac:dyDescent="0.2">
      <c r="A343" s="42">
        <v>45112</v>
      </c>
      <c r="B343" s="143" t="s">
        <v>499</v>
      </c>
      <c r="C343" s="44" t="s">
        <v>41</v>
      </c>
      <c r="D343" s="144"/>
      <c r="E343" s="10">
        <f t="shared" si="53"/>
        <v>0</v>
      </c>
      <c r="F343" s="144"/>
      <c r="G343" s="10">
        <f t="shared" si="54"/>
        <v>0</v>
      </c>
      <c r="H343" s="10">
        <f t="shared" si="55"/>
        <v>0</v>
      </c>
      <c r="I343" s="142">
        <v>167727.49</v>
      </c>
      <c r="K343" s="80">
        <v>4760</v>
      </c>
      <c r="L343" s="142"/>
      <c r="M343" s="142"/>
    </row>
    <row r="344" spans="1:16" x14ac:dyDescent="0.2">
      <c r="A344" s="42">
        <v>45155</v>
      </c>
      <c r="B344" s="43" t="s">
        <v>501</v>
      </c>
      <c r="C344" s="44" t="s">
        <v>66</v>
      </c>
      <c r="D344" s="144"/>
      <c r="E344" s="10">
        <f t="shared" si="53"/>
        <v>0</v>
      </c>
      <c r="F344" s="144">
        <v>2505</v>
      </c>
      <c r="G344" s="10">
        <f t="shared" si="54"/>
        <v>0</v>
      </c>
      <c r="H344" s="10">
        <f t="shared" si="55"/>
        <v>0</v>
      </c>
      <c r="I344" s="142"/>
      <c r="J344" s="79" t="s">
        <v>47</v>
      </c>
      <c r="K344" s="80">
        <v>6849</v>
      </c>
      <c r="L344" s="142"/>
      <c r="M344" s="142"/>
    </row>
    <row r="345" spans="1:16" x14ac:dyDescent="0.2">
      <c r="A345" s="42">
        <v>45168</v>
      </c>
      <c r="B345" s="43" t="s">
        <v>502</v>
      </c>
      <c r="C345" s="44" t="s">
        <v>66</v>
      </c>
      <c r="D345" s="144"/>
      <c r="E345" s="10">
        <f t="shared" si="53"/>
        <v>0</v>
      </c>
      <c r="F345" s="144">
        <v>1300</v>
      </c>
      <c r="G345" s="10">
        <f t="shared" si="54"/>
        <v>0</v>
      </c>
      <c r="H345" s="10">
        <f t="shared" si="55"/>
        <v>0</v>
      </c>
      <c r="I345" s="142"/>
      <c r="J345" s="79" t="s">
        <v>62</v>
      </c>
      <c r="K345" s="80">
        <v>6849</v>
      </c>
      <c r="L345" s="142"/>
      <c r="M345" s="142"/>
    </row>
    <row r="346" spans="1:16" x14ac:dyDescent="0.2">
      <c r="A346" s="42">
        <v>45177</v>
      </c>
      <c r="B346" s="143" t="s">
        <v>503</v>
      </c>
      <c r="C346" s="44" t="s">
        <v>41</v>
      </c>
      <c r="D346" s="144"/>
      <c r="E346" s="10">
        <f>+D346</f>
        <v>0</v>
      </c>
      <c r="F346" s="144"/>
      <c r="G346" s="10">
        <f>IF(J346&gt;0,0,F346)</f>
        <v>0</v>
      </c>
      <c r="H346" s="10">
        <f>+D346</f>
        <v>0</v>
      </c>
      <c r="I346" s="142"/>
      <c r="L346" s="142">
        <v>9318.9</v>
      </c>
      <c r="M346" s="142">
        <f>10055*P349</f>
        <v>9322.5019516642496</v>
      </c>
    </row>
    <row r="347" spans="1:16" x14ac:dyDescent="0.2">
      <c r="A347" s="42">
        <v>45182</v>
      </c>
      <c r="B347" s="143" t="s">
        <v>504</v>
      </c>
      <c r="C347" s="44" t="s">
        <v>41</v>
      </c>
      <c r="D347" s="144"/>
      <c r="E347" s="10">
        <f t="shared" si="53"/>
        <v>0</v>
      </c>
      <c r="F347" s="144"/>
      <c r="G347" s="10">
        <f t="shared" si="54"/>
        <v>0</v>
      </c>
      <c r="H347" s="10">
        <f t="shared" si="55"/>
        <v>0</v>
      </c>
      <c r="I347" s="142">
        <v>9318.9</v>
      </c>
      <c r="K347" s="80">
        <v>4760</v>
      </c>
      <c r="L347" s="142"/>
      <c r="M347" s="142"/>
    </row>
    <row r="348" spans="1:16" x14ac:dyDescent="0.2">
      <c r="A348" s="42">
        <v>45229</v>
      </c>
      <c r="B348" s="43" t="s">
        <v>505</v>
      </c>
      <c r="C348" s="44" t="s">
        <v>66</v>
      </c>
      <c r="D348" s="144"/>
      <c r="E348" s="10">
        <f t="shared" si="53"/>
        <v>0</v>
      </c>
      <c r="F348" s="144">
        <v>2382</v>
      </c>
      <c r="G348" s="10">
        <f t="shared" si="54"/>
        <v>0</v>
      </c>
      <c r="H348" s="10">
        <f t="shared" si="55"/>
        <v>0</v>
      </c>
      <c r="I348" s="142"/>
      <c r="J348" s="79" t="s">
        <v>55</v>
      </c>
      <c r="K348" s="80">
        <v>6811</v>
      </c>
      <c r="L348" s="142"/>
      <c r="M348" s="142"/>
    </row>
    <row r="349" spans="1:16" x14ac:dyDescent="0.2">
      <c r="A349" s="42">
        <v>45247</v>
      </c>
      <c r="B349" s="43" t="s">
        <v>506</v>
      </c>
      <c r="C349" s="44" t="s">
        <v>81</v>
      </c>
      <c r="D349" s="144"/>
      <c r="E349" s="10">
        <f t="shared" si="53"/>
        <v>0</v>
      </c>
      <c r="F349" s="144"/>
      <c r="G349" s="10">
        <v>-141126.04</v>
      </c>
      <c r="H349" s="10">
        <f t="shared" si="55"/>
        <v>0</v>
      </c>
      <c r="I349" s="142"/>
      <c r="J349" s="79" t="s">
        <v>227</v>
      </c>
      <c r="L349" s="142"/>
      <c r="M349" s="142"/>
      <c r="P349" s="45">
        <f>M2/M5</f>
        <v>0.92715086540668823</v>
      </c>
    </row>
    <row r="350" spans="1:16" x14ac:dyDescent="0.2">
      <c r="A350" s="42">
        <v>45258</v>
      </c>
      <c r="B350" s="143" t="s">
        <v>511</v>
      </c>
      <c r="C350" s="44" t="s">
        <v>41</v>
      </c>
      <c r="D350" s="144"/>
      <c r="E350" s="10">
        <f t="shared" si="53"/>
        <v>0</v>
      </c>
      <c r="F350" s="144"/>
      <c r="G350" s="10">
        <f t="shared" si="54"/>
        <v>0</v>
      </c>
      <c r="H350" s="10">
        <f t="shared" si="55"/>
        <v>0</v>
      </c>
      <c r="I350" s="142"/>
      <c r="L350" s="142">
        <v>1473.61</v>
      </c>
      <c r="M350" s="142">
        <f>2382*P349</f>
        <v>2208.4733613987314</v>
      </c>
    </row>
    <row r="351" spans="1:16" x14ac:dyDescent="0.2">
      <c r="A351" s="42">
        <v>45275</v>
      </c>
      <c r="B351" s="43" t="s">
        <v>507</v>
      </c>
      <c r="C351" s="44" t="s">
        <v>66</v>
      </c>
      <c r="D351" s="144"/>
      <c r="E351" s="10">
        <f t="shared" si="53"/>
        <v>0</v>
      </c>
      <c r="F351" s="144">
        <v>4679.16</v>
      </c>
      <c r="G351" s="10">
        <f t="shared" si="54"/>
        <v>0</v>
      </c>
      <c r="H351" s="10">
        <f t="shared" si="55"/>
        <v>0</v>
      </c>
      <c r="I351" s="142"/>
      <c r="J351" s="79" t="s">
        <v>508</v>
      </c>
      <c r="K351" s="80">
        <v>6864</v>
      </c>
      <c r="L351" s="142"/>
      <c r="M351" s="142"/>
    </row>
    <row r="352" spans="1:16" x14ac:dyDescent="0.2">
      <c r="A352" s="42">
        <v>45295</v>
      </c>
      <c r="B352" s="143" t="s">
        <v>512</v>
      </c>
      <c r="C352" s="44" t="s">
        <v>41</v>
      </c>
      <c r="D352" s="144"/>
      <c r="E352" s="10">
        <f t="shared" si="53"/>
        <v>0</v>
      </c>
      <c r="F352" s="144"/>
      <c r="G352" s="10">
        <f t="shared" si="54"/>
        <v>0</v>
      </c>
      <c r="H352" s="10">
        <f t="shared" si="55"/>
        <v>0</v>
      </c>
      <c r="I352" s="142"/>
      <c r="L352" s="142">
        <v>4336.6099999999997</v>
      </c>
      <c r="M352" s="142">
        <f>4679.16*P349</f>
        <v>4338.2872433763596</v>
      </c>
    </row>
    <row r="353" spans="1:13" x14ac:dyDescent="0.2">
      <c r="A353" s="42">
        <v>45309</v>
      </c>
      <c r="B353" s="43" t="s">
        <v>509</v>
      </c>
      <c r="C353" s="44" t="s">
        <v>81</v>
      </c>
      <c r="D353" s="144"/>
      <c r="E353" s="10">
        <f t="shared" si="53"/>
        <v>0</v>
      </c>
      <c r="F353" s="144"/>
      <c r="G353" s="10">
        <v>141126.04</v>
      </c>
      <c r="H353" s="10">
        <f t="shared" si="55"/>
        <v>0</v>
      </c>
      <c r="I353" s="142"/>
      <c r="J353" s="79" t="s">
        <v>227</v>
      </c>
      <c r="L353" s="142"/>
      <c r="M353" s="142"/>
    </row>
    <row r="354" spans="1:13" x14ac:dyDescent="0.2">
      <c r="A354" s="42">
        <v>45640</v>
      </c>
      <c r="B354" s="143" t="s">
        <v>510</v>
      </c>
      <c r="C354" s="44" t="s">
        <v>41</v>
      </c>
      <c r="D354" s="144"/>
      <c r="E354" s="144"/>
      <c r="F354" s="144"/>
      <c r="G354" s="144"/>
      <c r="H354" s="144"/>
      <c r="I354" s="142">
        <v>1473.61</v>
      </c>
      <c r="K354" s="80">
        <v>4760</v>
      </c>
      <c r="L354" s="142"/>
      <c r="M354" s="142"/>
    </row>
    <row r="355" spans="1:13" x14ac:dyDescent="0.2">
      <c r="A355" s="42">
        <v>45329</v>
      </c>
      <c r="B355" s="43" t="s">
        <v>513</v>
      </c>
      <c r="C355" s="44" t="s">
        <v>66</v>
      </c>
      <c r="D355" s="144"/>
      <c r="E355" s="144"/>
      <c r="F355" s="144">
        <v>25050.9</v>
      </c>
      <c r="G355" s="144"/>
      <c r="H355" s="144"/>
      <c r="I355" s="144"/>
      <c r="J355" s="79" t="s">
        <v>55</v>
      </c>
      <c r="K355" s="80">
        <v>6811</v>
      </c>
      <c r="L355" s="142"/>
      <c r="M355" s="142"/>
    </row>
    <row r="356" spans="1:13" x14ac:dyDescent="0.2">
      <c r="A356" s="42">
        <v>45372</v>
      </c>
      <c r="B356" s="143" t="s">
        <v>514</v>
      </c>
      <c r="C356" s="44" t="s">
        <v>41</v>
      </c>
      <c r="D356" s="144"/>
      <c r="E356" s="144"/>
      <c r="F356" s="144"/>
      <c r="G356" s="144"/>
      <c r="H356" s="144"/>
      <c r="I356" s="144">
        <v>4336.6099999999997</v>
      </c>
      <c r="K356" s="80">
        <v>4760</v>
      </c>
      <c r="L356" s="142"/>
      <c r="M356" s="142"/>
    </row>
    <row r="357" spans="1:13" x14ac:dyDescent="0.2">
      <c r="A357" s="42">
        <v>45365</v>
      </c>
      <c r="B357" s="143" t="s">
        <v>515</v>
      </c>
      <c r="C357" s="44" t="s">
        <v>41</v>
      </c>
      <c r="D357" s="144"/>
      <c r="E357" s="144"/>
      <c r="F357" s="144"/>
      <c r="G357" s="144"/>
      <c r="H357" s="144"/>
      <c r="I357" s="144"/>
      <c r="L357" s="142">
        <v>23217.02</v>
      </c>
      <c r="M357" s="142"/>
    </row>
    <row r="358" spans="1:13" x14ac:dyDescent="0.2">
      <c r="A358" s="42">
        <v>45400</v>
      </c>
      <c r="B358" s="43" t="s">
        <v>516</v>
      </c>
      <c r="C358" s="44" t="s">
        <v>66</v>
      </c>
      <c r="D358" s="144"/>
      <c r="E358" s="144"/>
      <c r="F358" s="144">
        <v>8230.84</v>
      </c>
      <c r="G358" s="144"/>
      <c r="H358" s="144"/>
      <c r="I358" s="144"/>
      <c r="J358" s="79" t="s">
        <v>55</v>
      </c>
      <c r="K358" s="80">
        <v>6811</v>
      </c>
      <c r="L358" s="142"/>
      <c r="M358" s="142"/>
    </row>
    <row r="359" spans="1:13" x14ac:dyDescent="0.2">
      <c r="A359" s="42">
        <v>45400</v>
      </c>
      <c r="B359" s="8" t="s">
        <v>517</v>
      </c>
      <c r="C359" s="44" t="s">
        <v>66</v>
      </c>
      <c r="D359" s="144">
        <v>74697.039999999994</v>
      </c>
      <c r="E359" s="145">
        <f t="shared" ref="E359" si="56">+D359</f>
        <v>74697.039999999994</v>
      </c>
      <c r="F359" s="144"/>
      <c r="G359" s="10">
        <f t="shared" ref="G359" si="57">IF(J359&gt;0,0,F359)</f>
        <v>0</v>
      </c>
      <c r="H359" s="145">
        <f t="shared" ref="H359" si="58">+D359</f>
        <v>74697.039999999994</v>
      </c>
      <c r="I359" s="144"/>
      <c r="K359" s="80">
        <v>4760</v>
      </c>
      <c r="L359" s="142"/>
      <c r="M359" s="142"/>
    </row>
    <row r="360" spans="1:13" x14ac:dyDescent="0.2">
      <c r="A360" s="42">
        <v>45385</v>
      </c>
      <c r="B360" s="95" t="s">
        <v>520</v>
      </c>
      <c r="C360" s="44" t="s">
        <v>41</v>
      </c>
      <c r="D360" s="144"/>
      <c r="E360" s="145"/>
      <c r="F360" s="144"/>
      <c r="G360" s="10"/>
      <c r="H360" s="145"/>
      <c r="I360" s="144">
        <v>23217.02</v>
      </c>
      <c r="K360" s="80">
        <v>4760</v>
      </c>
      <c r="L360" s="142"/>
      <c r="M360" s="142"/>
    </row>
    <row r="361" spans="1:13" x14ac:dyDescent="0.2">
      <c r="A361" s="42">
        <v>45443</v>
      </c>
      <c r="B361" s="95" t="s">
        <v>522</v>
      </c>
      <c r="C361" s="147"/>
      <c r="D361" s="144"/>
      <c r="E361" s="145"/>
      <c r="F361" s="144"/>
      <c r="G361" s="10"/>
      <c r="H361" s="145"/>
      <c r="I361" s="144"/>
      <c r="L361" s="142">
        <v>12949.7</v>
      </c>
      <c r="M361" s="142"/>
    </row>
    <row r="362" spans="1:13" x14ac:dyDescent="0.2">
      <c r="B362" s="8"/>
      <c r="C362" s="147"/>
      <c r="D362" s="144"/>
      <c r="E362" s="145"/>
      <c r="F362" s="144"/>
      <c r="G362" s="10"/>
      <c r="H362" s="145"/>
      <c r="I362" s="144"/>
      <c r="L362" s="142"/>
      <c r="M362" s="142"/>
    </row>
    <row r="363" spans="1:13" x14ac:dyDescent="0.2">
      <c r="B363" s="8"/>
      <c r="C363" s="147"/>
      <c r="D363" s="144"/>
      <c r="E363" s="145"/>
      <c r="F363" s="144"/>
      <c r="G363" s="10"/>
      <c r="H363" s="145"/>
      <c r="I363" s="144"/>
      <c r="L363" s="142"/>
      <c r="M363" s="142"/>
    </row>
    <row r="364" spans="1:13" x14ac:dyDescent="0.2">
      <c r="A364" s="148" t="s">
        <v>523</v>
      </c>
      <c r="B364" s="8"/>
      <c r="C364" s="147"/>
      <c r="D364" s="144"/>
      <c r="E364" s="145"/>
      <c r="F364" s="144"/>
      <c r="G364" s="10"/>
      <c r="H364" s="145"/>
      <c r="I364" s="144"/>
      <c r="L364" s="142"/>
      <c r="M364" s="142"/>
    </row>
    <row r="365" spans="1:13" x14ac:dyDescent="0.2">
      <c r="A365" s="42">
        <v>45544</v>
      </c>
      <c r="B365" s="43" t="s">
        <v>524</v>
      </c>
      <c r="C365" s="44" t="s">
        <v>66</v>
      </c>
      <c r="D365" s="144"/>
      <c r="E365" s="144"/>
      <c r="F365" s="144">
        <v>133136.66</v>
      </c>
      <c r="G365" s="144"/>
      <c r="H365" s="144"/>
      <c r="I365" s="144"/>
      <c r="J365" s="79" t="s">
        <v>227</v>
      </c>
      <c r="K365" s="80">
        <v>6811</v>
      </c>
      <c r="L365" s="142"/>
      <c r="M365" s="142"/>
    </row>
    <row r="366" spans="1:13" x14ac:dyDescent="0.2">
      <c r="A366" s="42">
        <v>45544</v>
      </c>
      <c r="B366" s="43" t="s">
        <v>525</v>
      </c>
      <c r="C366" s="44" t="s">
        <v>66</v>
      </c>
      <c r="D366" s="144"/>
      <c r="E366" s="144"/>
      <c r="F366" s="144">
        <v>7007.19</v>
      </c>
      <c r="G366" s="144"/>
      <c r="H366" s="144"/>
      <c r="I366" s="144"/>
      <c r="J366" s="79" t="s">
        <v>227</v>
      </c>
      <c r="K366" s="80">
        <v>6811</v>
      </c>
      <c r="L366" s="142"/>
      <c r="M366" s="142"/>
    </row>
    <row r="367" spans="1:13" x14ac:dyDescent="0.2">
      <c r="A367" s="42">
        <v>45565</v>
      </c>
      <c r="B367" s="143" t="s">
        <v>526</v>
      </c>
      <c r="C367" s="44" t="s">
        <v>41</v>
      </c>
      <c r="D367" s="144"/>
      <c r="E367" s="144"/>
      <c r="F367" s="144"/>
      <c r="G367" s="144"/>
      <c r="H367" s="144"/>
      <c r="I367" s="144"/>
      <c r="L367" s="142">
        <v>129934.5</v>
      </c>
      <c r="M367" s="142"/>
    </row>
    <row r="368" spans="1:13" x14ac:dyDescent="0.2">
      <c r="A368" s="42">
        <v>45596</v>
      </c>
      <c r="B368" s="143" t="s">
        <v>527</v>
      </c>
      <c r="C368" s="44" t="s">
        <v>41</v>
      </c>
      <c r="D368" s="144"/>
      <c r="E368" s="144"/>
      <c r="F368" s="144"/>
      <c r="G368" s="144"/>
      <c r="H368" s="144"/>
      <c r="I368" s="144">
        <v>129934.5</v>
      </c>
      <c r="K368" s="80">
        <v>4760</v>
      </c>
      <c r="L368" s="142"/>
      <c r="M368" s="142"/>
    </row>
    <row r="369" spans="1:13" x14ac:dyDescent="0.2">
      <c r="A369" s="42">
        <v>45629</v>
      </c>
      <c r="B369" s="43" t="s">
        <v>528</v>
      </c>
      <c r="C369" s="44" t="s">
        <v>81</v>
      </c>
      <c r="D369" s="144"/>
      <c r="E369" s="144"/>
      <c r="F369" s="144"/>
      <c r="G369" s="144">
        <v>-37546.54</v>
      </c>
      <c r="H369" s="144"/>
      <c r="I369" s="144"/>
      <c r="J369" s="79" t="s">
        <v>55</v>
      </c>
      <c r="L369" s="142"/>
      <c r="M369" s="142"/>
    </row>
    <row r="370" spans="1:13" x14ac:dyDescent="0.2">
      <c r="A370" s="42">
        <v>45644</v>
      </c>
      <c r="B370" s="43" t="s">
        <v>529</v>
      </c>
      <c r="D370" s="144"/>
      <c r="E370" s="144"/>
      <c r="F370" s="144">
        <v>3349.87</v>
      </c>
      <c r="G370" s="144"/>
      <c r="H370" s="144"/>
      <c r="I370" s="144"/>
      <c r="J370" s="79" t="s">
        <v>92</v>
      </c>
      <c r="K370" s="80">
        <v>6861</v>
      </c>
      <c r="L370" s="142"/>
      <c r="M370" s="142"/>
    </row>
    <row r="371" spans="1:13" x14ac:dyDescent="0.2">
      <c r="A371" s="42">
        <v>45645</v>
      </c>
      <c r="B371" s="143" t="s">
        <v>530</v>
      </c>
      <c r="D371" s="144"/>
      <c r="E371" s="144"/>
      <c r="F371" s="144"/>
      <c r="G371" s="144"/>
      <c r="H371" s="144"/>
      <c r="I371" s="144"/>
      <c r="L371" s="142">
        <v>3105.83</v>
      </c>
      <c r="M371" s="142"/>
    </row>
    <row r="372" spans="1:13" x14ac:dyDescent="0.2">
      <c r="D372" s="144"/>
      <c r="E372" s="144"/>
      <c r="F372" s="144"/>
      <c r="G372" s="144"/>
      <c r="H372" s="144"/>
      <c r="I372" s="144"/>
      <c r="L372" s="142"/>
      <c r="M372" s="142"/>
    </row>
    <row r="373" spans="1:13" x14ac:dyDescent="0.2">
      <c r="D373" s="144"/>
      <c r="E373" s="144"/>
      <c r="F373" s="144"/>
      <c r="G373" s="144"/>
      <c r="H373" s="144"/>
      <c r="I373" s="144"/>
      <c r="L373" s="142"/>
      <c r="M373" s="142"/>
    </row>
    <row r="374" spans="1:13" x14ac:dyDescent="0.2">
      <c r="B374" s="159" t="s">
        <v>472</v>
      </c>
      <c r="D374" s="144"/>
      <c r="E374" s="144"/>
      <c r="F374" s="144"/>
      <c r="G374" s="144"/>
      <c r="H374" s="144"/>
      <c r="I374" s="144"/>
      <c r="L374" s="142"/>
      <c r="M374" s="142"/>
    </row>
    <row r="375" spans="1:13" x14ac:dyDescent="0.2">
      <c r="D375" s="144"/>
      <c r="E375" s="144"/>
      <c r="F375" s="144"/>
      <c r="G375" s="144"/>
      <c r="H375" s="144"/>
      <c r="I375" s="144"/>
      <c r="L375" s="142"/>
      <c r="M375" s="142"/>
    </row>
    <row r="376" spans="1:13" x14ac:dyDescent="0.2">
      <c r="D376" s="144"/>
      <c r="E376" s="144"/>
      <c r="F376" s="144"/>
      <c r="G376" s="144"/>
      <c r="H376" s="144"/>
      <c r="I376" s="144"/>
      <c r="L376" s="142"/>
      <c r="M376" s="142"/>
    </row>
    <row r="377" spans="1:13" x14ac:dyDescent="0.2">
      <c r="D377" s="144"/>
      <c r="E377" s="144"/>
      <c r="F377" s="144"/>
      <c r="G377" s="144"/>
      <c r="H377" s="144"/>
      <c r="I377" s="144"/>
      <c r="L377" s="142"/>
      <c r="M377" s="142"/>
    </row>
    <row r="378" spans="1:13" x14ac:dyDescent="0.2">
      <c r="D378" s="144"/>
      <c r="E378" s="144"/>
      <c r="F378" s="144"/>
      <c r="G378" s="144"/>
      <c r="H378" s="144"/>
      <c r="I378" s="144"/>
      <c r="L378" s="142"/>
      <c r="M378" s="142"/>
    </row>
    <row r="379" spans="1:13" x14ac:dyDescent="0.2">
      <c r="D379" s="144"/>
      <c r="E379" s="144"/>
      <c r="F379" s="144"/>
      <c r="G379" s="144"/>
      <c r="H379" s="144"/>
      <c r="I379" s="144"/>
      <c r="L379" s="142"/>
      <c r="M379" s="142"/>
    </row>
    <row r="380" spans="1:13" x14ac:dyDescent="0.2">
      <c r="D380" s="144"/>
      <c r="E380" s="144"/>
      <c r="F380" s="144"/>
      <c r="G380" s="144"/>
      <c r="H380" s="144"/>
      <c r="I380" s="144"/>
      <c r="L380" s="142"/>
      <c r="M380" s="142"/>
    </row>
    <row r="381" spans="1:13" x14ac:dyDescent="0.2">
      <c r="D381" s="144"/>
      <c r="E381" s="144"/>
      <c r="F381" s="144"/>
      <c r="G381" s="144"/>
      <c r="H381" s="144"/>
      <c r="I381" s="144"/>
      <c r="L381" s="142"/>
      <c r="M381" s="142"/>
    </row>
    <row r="382" spans="1:13" x14ac:dyDescent="0.2">
      <c r="D382" s="144"/>
      <c r="E382" s="144"/>
      <c r="F382" s="144"/>
      <c r="G382" s="144"/>
      <c r="H382" s="144"/>
      <c r="I382" s="144"/>
      <c r="L382" s="142"/>
      <c r="M382" s="142"/>
    </row>
    <row r="383" spans="1:13" x14ac:dyDescent="0.2">
      <c r="D383" s="144"/>
      <c r="E383" s="144"/>
      <c r="F383" s="144"/>
      <c r="G383" s="144"/>
      <c r="H383" s="144"/>
      <c r="I383" s="144"/>
      <c r="L383" s="142"/>
      <c r="M383" s="142"/>
    </row>
    <row r="384" spans="1:13" x14ac:dyDescent="0.2">
      <c r="D384" s="144"/>
      <c r="E384" s="144"/>
      <c r="F384" s="144"/>
      <c r="G384" s="144"/>
      <c r="H384" s="144"/>
      <c r="I384" s="144"/>
      <c r="L384" s="142"/>
      <c r="M384" s="142"/>
    </row>
    <row r="385" spans="4:12" x14ac:dyDescent="0.2">
      <c r="D385" s="144"/>
      <c r="E385" s="144"/>
      <c r="F385" s="144"/>
      <c r="G385" s="144"/>
      <c r="H385" s="144"/>
      <c r="I385" s="144"/>
      <c r="L385" s="142"/>
    </row>
    <row r="386" spans="4:12" x14ac:dyDescent="0.2">
      <c r="D386" s="144"/>
      <c r="E386" s="144"/>
      <c r="F386" s="144"/>
      <c r="G386" s="144"/>
      <c r="H386" s="144"/>
      <c r="I386" s="144"/>
      <c r="L386" s="142"/>
    </row>
    <row r="387" spans="4:12" x14ac:dyDescent="0.2">
      <c r="D387" s="144"/>
      <c r="E387" s="144"/>
      <c r="F387" s="144"/>
      <c r="G387" s="144"/>
      <c r="H387" s="144"/>
      <c r="I387" s="144"/>
      <c r="L387" s="142"/>
    </row>
    <row r="388" spans="4:12" x14ac:dyDescent="0.2">
      <c r="D388" s="144"/>
      <c r="E388" s="144"/>
      <c r="F388" s="144"/>
      <c r="G388" s="144"/>
      <c r="H388" s="144"/>
      <c r="I388" s="144"/>
      <c r="L388" s="142"/>
    </row>
    <row r="389" spans="4:12" x14ac:dyDescent="0.2">
      <c r="D389" s="144"/>
      <c r="E389" s="144"/>
      <c r="F389" s="144"/>
      <c r="G389" s="144"/>
      <c r="H389" s="144"/>
      <c r="I389" s="144"/>
      <c r="L389" s="142"/>
    </row>
    <row r="390" spans="4:12" x14ac:dyDescent="0.2">
      <c r="D390" s="144"/>
      <c r="E390" s="144"/>
      <c r="F390" s="144"/>
      <c r="G390" s="144"/>
      <c r="H390" s="144"/>
      <c r="I390" s="144"/>
      <c r="L390" s="142"/>
    </row>
    <row r="391" spans="4:12" x14ac:dyDescent="0.2">
      <c r="D391" s="144"/>
      <c r="E391" s="144"/>
      <c r="F391" s="144"/>
      <c r="G391" s="144"/>
      <c r="H391" s="144"/>
      <c r="I391" s="144"/>
      <c r="L391" s="142"/>
    </row>
    <row r="392" spans="4:12" x14ac:dyDescent="0.2">
      <c r="D392" s="144"/>
      <c r="E392" s="144"/>
      <c r="F392" s="144"/>
      <c r="G392" s="144"/>
      <c r="H392" s="144"/>
      <c r="I392" s="144"/>
      <c r="L392" s="142"/>
    </row>
    <row r="393" spans="4:12" x14ac:dyDescent="0.2">
      <c r="D393" s="144"/>
      <c r="E393" s="144"/>
      <c r="F393" s="144"/>
      <c r="G393" s="144"/>
      <c r="H393" s="144"/>
      <c r="I393" s="144"/>
      <c r="L393" s="142"/>
    </row>
    <row r="394" spans="4:12" x14ac:dyDescent="0.2">
      <c r="D394" s="144"/>
      <c r="E394" s="144"/>
      <c r="F394" s="144"/>
      <c r="G394" s="144"/>
      <c r="H394" s="144"/>
      <c r="I394" s="144"/>
      <c r="L394" s="142"/>
    </row>
    <row r="395" spans="4:12" x14ac:dyDescent="0.2">
      <c r="D395" s="144"/>
      <c r="E395" s="144"/>
      <c r="F395" s="144"/>
      <c r="G395" s="144"/>
      <c r="H395" s="144"/>
      <c r="I395" s="144"/>
      <c r="L395" s="142"/>
    </row>
    <row r="396" spans="4:12" x14ac:dyDescent="0.2">
      <c r="D396" s="144"/>
      <c r="E396" s="144"/>
      <c r="F396" s="144"/>
      <c r="G396" s="144"/>
      <c r="H396" s="144"/>
      <c r="I396" s="144"/>
      <c r="L396" s="142"/>
    </row>
    <row r="397" spans="4:12" x14ac:dyDescent="0.2">
      <c r="D397" s="144"/>
      <c r="E397" s="144"/>
      <c r="F397" s="144"/>
      <c r="G397" s="144"/>
      <c r="H397" s="144"/>
      <c r="I397" s="144"/>
      <c r="L397" s="142"/>
    </row>
    <row r="398" spans="4:12" x14ac:dyDescent="0.2">
      <c r="D398" s="144"/>
      <c r="E398" s="144"/>
      <c r="F398" s="144"/>
      <c r="G398" s="144"/>
      <c r="H398" s="144"/>
      <c r="I398" s="144"/>
      <c r="L398" s="142"/>
    </row>
    <row r="399" spans="4:12" x14ac:dyDescent="0.2">
      <c r="D399" s="144"/>
      <c r="E399" s="144"/>
      <c r="F399" s="144"/>
      <c r="G399" s="144"/>
      <c r="H399" s="144"/>
      <c r="I399" s="144"/>
      <c r="L399" s="142"/>
    </row>
    <row r="400" spans="4:12" x14ac:dyDescent="0.2">
      <c r="D400" s="144"/>
      <c r="E400" s="144"/>
      <c r="F400" s="144"/>
      <c r="G400" s="144"/>
      <c r="H400" s="144"/>
      <c r="I400" s="144"/>
      <c r="L400" s="142"/>
    </row>
    <row r="401" spans="4:12" x14ac:dyDescent="0.2">
      <c r="D401" s="144"/>
      <c r="E401" s="144"/>
      <c r="F401" s="144"/>
      <c r="G401" s="144"/>
      <c r="H401" s="144"/>
      <c r="I401" s="144"/>
      <c r="L401" s="142"/>
    </row>
    <row r="402" spans="4:12" x14ac:dyDescent="0.2">
      <c r="D402" s="144"/>
      <c r="E402" s="144"/>
      <c r="F402" s="144"/>
      <c r="G402" s="144"/>
      <c r="H402" s="144"/>
      <c r="I402" s="144"/>
      <c r="L402" s="142"/>
    </row>
    <row r="403" spans="4:12" x14ac:dyDescent="0.2">
      <c r="L403" s="142"/>
    </row>
    <row r="404" spans="4:12" x14ac:dyDescent="0.2">
      <c r="L404" s="142"/>
    </row>
    <row r="405" spans="4:12" x14ac:dyDescent="0.2">
      <c r="L405" s="142"/>
    </row>
    <row r="406" spans="4:12" x14ac:dyDescent="0.2">
      <c r="L406" s="142"/>
    </row>
    <row r="407" spans="4:12" x14ac:dyDescent="0.2">
      <c r="L407" s="142"/>
    </row>
    <row r="408" spans="4:12" x14ac:dyDescent="0.2">
      <c r="L408" s="142"/>
    </row>
    <row r="409" spans="4:12" x14ac:dyDescent="0.2">
      <c r="L409" s="142"/>
    </row>
    <row r="410" spans="4:12" x14ac:dyDescent="0.2">
      <c r="L410" s="142"/>
    </row>
    <row r="411" spans="4:12" x14ac:dyDescent="0.2">
      <c r="L411" s="142"/>
    </row>
    <row r="412" spans="4:12" x14ac:dyDescent="0.2">
      <c r="L412" s="142"/>
    </row>
    <row r="413" spans="4:12" x14ac:dyDescent="0.2">
      <c r="L413" s="142"/>
    </row>
    <row r="414" spans="4:12" x14ac:dyDescent="0.2">
      <c r="L414" s="142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5" fitToHeight="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9"/>
  <sheetViews>
    <sheetView topLeftCell="A2" zoomScaleNormal="100" workbookViewId="0">
      <selection activeCell="A27" sqref="A27"/>
    </sheetView>
  </sheetViews>
  <sheetFormatPr defaultColWidth="7.88671875" defaultRowHeight="12.75" x14ac:dyDescent="0.2"/>
  <cols>
    <col min="1" max="1" width="25.109375" style="1" customWidth="1"/>
    <col min="2" max="3" width="7.88671875" style="1"/>
    <col min="4" max="4" width="4.109375" style="1" customWidth="1"/>
    <col min="5" max="5" width="3" style="1" customWidth="1"/>
    <col min="6" max="6" width="12.21875" style="1" customWidth="1"/>
    <col min="7" max="7" width="19.109375" style="1" customWidth="1"/>
    <col min="8" max="8" width="16" style="1" customWidth="1"/>
    <col min="9" max="9" width="10.33203125" style="1" customWidth="1"/>
    <col min="10" max="15" width="7.88671875" style="1"/>
    <col min="16" max="16" width="12.77734375" style="1" customWidth="1"/>
    <col min="17" max="16384" width="7.88671875" style="1"/>
  </cols>
  <sheetData>
    <row r="1" spans="1:16" x14ac:dyDescent="0.2">
      <c r="A1" s="172" t="s">
        <v>0</v>
      </c>
      <c r="B1" s="172"/>
      <c r="C1" s="172"/>
      <c r="D1" s="172"/>
      <c r="E1" s="172"/>
      <c r="F1" s="172"/>
      <c r="G1" s="172"/>
    </row>
    <row r="2" spans="1:16" x14ac:dyDescent="0.2">
      <c r="A2" s="172" t="str">
        <f>+PROJECT!D5</f>
        <v>USU MOAB ACADEMIC BUILDING</v>
      </c>
      <c r="B2" s="172"/>
      <c r="C2" s="172"/>
      <c r="D2" s="172"/>
      <c r="E2" s="172"/>
      <c r="F2" s="172"/>
      <c r="G2" s="172"/>
    </row>
    <row r="3" spans="1:16" ht="15.75" customHeight="1" x14ac:dyDescent="0.2">
      <c r="A3" s="172" t="s">
        <v>309</v>
      </c>
      <c r="B3" s="172"/>
      <c r="C3" s="172"/>
      <c r="D3" s="172"/>
      <c r="E3" s="172"/>
      <c r="F3" s="172"/>
      <c r="G3" s="172"/>
    </row>
    <row r="4" spans="1:16" x14ac:dyDescent="0.2">
      <c r="A4" s="172" t="s">
        <v>310</v>
      </c>
      <c r="B4" s="172"/>
      <c r="C4" s="172"/>
      <c r="D4" s="172"/>
      <c r="E4" s="172"/>
      <c r="F4" s="172"/>
      <c r="G4" s="172"/>
    </row>
    <row r="7" spans="1:16" x14ac:dyDescent="0.2">
      <c r="A7" s="30" t="s">
        <v>17</v>
      </c>
    </row>
    <row r="8" spans="1:16" x14ac:dyDescent="0.2">
      <c r="A8" s="133" t="s">
        <v>311</v>
      </c>
      <c r="F8" s="18">
        <f>+PROJECT!M2</f>
        <v>14190603.92</v>
      </c>
      <c r="G8" s="18"/>
    </row>
    <row r="9" spans="1:16" x14ac:dyDescent="0.2">
      <c r="A9" s="133" t="s">
        <v>312</v>
      </c>
      <c r="F9" s="18">
        <f>+PROJECT!M3</f>
        <v>1000000</v>
      </c>
    </row>
    <row r="10" spans="1:16" x14ac:dyDescent="0.2">
      <c r="A10" s="133" t="s">
        <v>313</v>
      </c>
      <c r="F10" s="18">
        <f>+PROJECT!M4</f>
        <v>115000</v>
      </c>
    </row>
    <row r="11" spans="1:16" x14ac:dyDescent="0.2">
      <c r="F11" s="18"/>
      <c r="G11" s="18"/>
    </row>
    <row r="12" spans="1:16" x14ac:dyDescent="0.2">
      <c r="A12" s="15" t="s">
        <v>18</v>
      </c>
      <c r="B12" s="20"/>
      <c r="C12" s="20"/>
      <c r="D12" s="20"/>
      <c r="E12" s="20"/>
      <c r="F12" s="21"/>
      <c r="G12" s="21">
        <f>SUM(F8:F11)</f>
        <v>15305603.92</v>
      </c>
      <c r="H12" s="1">
        <f>+PROJECT!D11-G12</f>
        <v>122051.08000000007</v>
      </c>
      <c r="P12" s="19">
        <f>4619526.06-145100-35000-4000-367.35-1726.55</f>
        <v>4433332.16</v>
      </c>
    </row>
    <row r="13" spans="1:16" x14ac:dyDescent="0.2">
      <c r="A13" s="15"/>
      <c r="B13" s="20"/>
      <c r="C13" s="20"/>
      <c r="D13" s="20"/>
      <c r="E13" s="20"/>
      <c r="F13" s="21"/>
      <c r="G13" s="21"/>
      <c r="P13" s="19"/>
    </row>
    <row r="14" spans="1:16" x14ac:dyDescent="0.2">
      <c r="A14" s="15"/>
      <c r="B14" s="20"/>
      <c r="C14" s="20"/>
      <c r="D14" s="20"/>
      <c r="E14" s="20"/>
      <c r="F14" s="21"/>
      <c r="G14" s="21"/>
      <c r="P14" s="19"/>
    </row>
    <row r="15" spans="1:16" x14ac:dyDescent="0.2">
      <c r="P15" s="19">
        <f>11378865.94+35000+4000+367.35+1726.55</f>
        <v>11419959.84</v>
      </c>
    </row>
    <row r="16" spans="1:16" x14ac:dyDescent="0.2">
      <c r="A16" s="16" t="s">
        <v>314</v>
      </c>
      <c r="B16" s="20"/>
      <c r="C16" s="20"/>
      <c r="D16" s="20"/>
      <c r="E16" s="20"/>
      <c r="F16" s="134"/>
      <c r="G16" s="22" t="s">
        <v>315</v>
      </c>
      <c r="P16" s="19">
        <f>P12+P15</f>
        <v>15853292</v>
      </c>
    </row>
    <row r="17" spans="1:16" x14ac:dyDescent="0.2">
      <c r="A17" s="16" t="s">
        <v>19</v>
      </c>
      <c r="F17" s="18"/>
      <c r="G17" s="136"/>
      <c r="H17" s="19"/>
      <c r="P17" s="19">
        <f>15998392-145100</f>
        <v>15853292</v>
      </c>
    </row>
    <row r="18" spans="1:16" x14ac:dyDescent="0.2">
      <c r="A18" s="133" t="s">
        <v>316</v>
      </c>
      <c r="F18" s="18"/>
      <c r="G18" s="137">
        <v>63500</v>
      </c>
      <c r="H18" s="19"/>
    </row>
    <row r="19" spans="1:16" x14ac:dyDescent="0.2">
      <c r="A19" s="133" t="s">
        <v>323</v>
      </c>
      <c r="F19" s="18"/>
      <c r="G19" s="137">
        <v>553180.5</v>
      </c>
      <c r="H19" s="19"/>
    </row>
    <row r="20" spans="1:16" x14ac:dyDescent="0.2">
      <c r="A20" s="133" t="s">
        <v>326</v>
      </c>
      <c r="F20" s="18"/>
      <c r="G20" s="137">
        <f>6800+10185</f>
        <v>16985</v>
      </c>
      <c r="H20" s="19"/>
    </row>
    <row r="21" spans="1:16" x14ac:dyDescent="0.2">
      <c r="A21" s="133" t="s">
        <v>331</v>
      </c>
      <c r="G21" s="137">
        <f>+PROJECT!G96+PROJECT!G110+PROJECT!G151</f>
        <v>1210</v>
      </c>
      <c r="H21" s="19"/>
    </row>
    <row r="22" spans="1:16" x14ac:dyDescent="0.2">
      <c r="A22" s="135" t="s">
        <v>332</v>
      </c>
      <c r="F22" s="18"/>
      <c r="G22" s="137">
        <f>+PROJECT!G97</f>
        <v>484</v>
      </c>
      <c r="H22" s="19"/>
    </row>
    <row r="23" spans="1:16" x14ac:dyDescent="0.2">
      <c r="A23" s="135" t="s">
        <v>319</v>
      </c>
      <c r="F23" s="18"/>
      <c r="G23" s="137">
        <f>+PROJECT!F15+PROJECT!F18+PROJECT!G132+PROJECT!G139+PROJECT!G144+PROJECT!G158+PROJECT!G164</f>
        <v>307.02</v>
      </c>
    </row>
    <row r="24" spans="1:16" x14ac:dyDescent="0.2">
      <c r="G24" s="137"/>
      <c r="H24" s="19"/>
    </row>
    <row r="25" spans="1:16" x14ac:dyDescent="0.2">
      <c r="A25" s="16" t="s">
        <v>317</v>
      </c>
      <c r="F25" s="18"/>
      <c r="G25" s="137"/>
      <c r="H25" s="19"/>
      <c r="I25" s="18"/>
    </row>
    <row r="26" spans="1:16" x14ac:dyDescent="0.2">
      <c r="A26" s="133" t="s">
        <v>318</v>
      </c>
      <c r="G26" s="137">
        <v>61590</v>
      </c>
      <c r="H26" s="19"/>
    </row>
    <row r="27" spans="1:16" x14ac:dyDescent="0.2">
      <c r="A27" s="133" t="s">
        <v>322</v>
      </c>
      <c r="G27" s="137">
        <v>9018.02</v>
      </c>
      <c r="H27" s="19"/>
      <c r="I27" s="23"/>
    </row>
    <row r="28" spans="1:16" x14ac:dyDescent="0.2">
      <c r="G28" s="137"/>
      <c r="H28" s="19"/>
      <c r="I28" s="18"/>
    </row>
    <row r="29" spans="1:16" x14ac:dyDescent="0.2">
      <c r="A29" s="16" t="s">
        <v>20</v>
      </c>
      <c r="B29" s="20"/>
      <c r="C29" s="20"/>
      <c r="D29" s="20"/>
      <c r="E29" s="20"/>
      <c r="F29" s="18"/>
      <c r="G29" s="137"/>
      <c r="H29" s="24"/>
    </row>
    <row r="30" spans="1:16" x14ac:dyDescent="0.2">
      <c r="A30" s="135" t="s">
        <v>320</v>
      </c>
      <c r="G30" s="137">
        <v>45000</v>
      </c>
      <c r="H30" s="19"/>
    </row>
    <row r="31" spans="1:16" x14ac:dyDescent="0.2">
      <c r="A31" s="1" t="str">
        <f>+A30</f>
        <v xml:space="preserve">Hogan &amp; Assoc Construction Inc. </v>
      </c>
      <c r="G31" s="136">
        <v>4524937.83</v>
      </c>
      <c r="H31" s="19"/>
    </row>
    <row r="32" spans="1:16" x14ac:dyDescent="0.2">
      <c r="A32" s="133" t="s">
        <v>327</v>
      </c>
      <c r="G32" s="137">
        <v>10000</v>
      </c>
      <c r="H32" s="19"/>
    </row>
    <row r="33" spans="1:8" x14ac:dyDescent="0.2">
      <c r="A33" s="133"/>
      <c r="G33" s="137"/>
      <c r="H33" s="19"/>
    </row>
    <row r="34" spans="1:8" x14ac:dyDescent="0.2">
      <c r="A34" s="16" t="s">
        <v>321</v>
      </c>
      <c r="F34" s="18"/>
      <c r="G34" s="137">
        <v>366992.4</v>
      </c>
      <c r="H34" s="19"/>
    </row>
    <row r="35" spans="1:8" x14ac:dyDescent="0.2">
      <c r="A35" s="17"/>
      <c r="F35" s="18"/>
      <c r="G35" s="137"/>
      <c r="H35" s="19"/>
    </row>
    <row r="36" spans="1:8" x14ac:dyDescent="0.2">
      <c r="A36" s="16" t="s">
        <v>329</v>
      </c>
      <c r="F36" s="18"/>
      <c r="G36" s="137">
        <f>286.63+PROJECT!G121</f>
        <v>6270.42</v>
      </c>
      <c r="H36" s="19"/>
    </row>
    <row r="37" spans="1:8" x14ac:dyDescent="0.2">
      <c r="A37" s="16"/>
      <c r="F37" s="18"/>
      <c r="G37" s="137"/>
      <c r="H37" s="19"/>
    </row>
    <row r="38" spans="1:8" x14ac:dyDescent="0.2">
      <c r="A38" s="16" t="s">
        <v>324</v>
      </c>
      <c r="F38" s="18"/>
      <c r="G38" s="137"/>
      <c r="H38" s="19"/>
    </row>
    <row r="39" spans="1:8" x14ac:dyDescent="0.2">
      <c r="A39" s="133" t="s">
        <v>325</v>
      </c>
      <c r="F39" s="18"/>
      <c r="G39" s="137">
        <v>25883.95</v>
      </c>
      <c r="H39" s="19"/>
    </row>
    <row r="40" spans="1:8" x14ac:dyDescent="0.2">
      <c r="A40" s="31"/>
      <c r="F40" s="18"/>
      <c r="G40" s="137"/>
      <c r="H40" s="19"/>
    </row>
    <row r="41" spans="1:8" x14ac:dyDescent="0.2">
      <c r="A41" s="16" t="s">
        <v>328</v>
      </c>
      <c r="F41" s="18"/>
      <c r="G41" s="137">
        <v>63500</v>
      </c>
      <c r="H41" s="19"/>
    </row>
    <row r="42" spans="1:8" x14ac:dyDescent="0.2">
      <c r="A42" s="16"/>
      <c r="F42" s="18"/>
      <c r="G42" s="137"/>
      <c r="H42" s="19"/>
    </row>
    <row r="43" spans="1:8" x14ac:dyDescent="0.2">
      <c r="A43" s="25"/>
      <c r="B43" s="25"/>
      <c r="C43" s="25"/>
      <c r="D43" s="25"/>
      <c r="E43" s="25"/>
      <c r="F43" s="25"/>
      <c r="G43" s="138"/>
      <c r="H43" s="19"/>
    </row>
    <row r="44" spans="1:8" ht="13.5" thickBot="1" x14ac:dyDescent="0.25">
      <c r="A44" s="26" t="s">
        <v>330</v>
      </c>
      <c r="B44" s="27"/>
      <c r="C44" s="27"/>
      <c r="D44" s="27"/>
      <c r="E44" s="27"/>
      <c r="F44" s="28"/>
      <c r="G44" s="139">
        <f>SUM(G17:G43)</f>
        <v>5748859.1400000006</v>
      </c>
      <c r="H44" s="29"/>
    </row>
    <row r="45" spans="1:8" ht="13.5" thickTop="1" x14ac:dyDescent="0.2">
      <c r="F45" s="18"/>
      <c r="G45" s="140"/>
    </row>
    <row r="46" spans="1:8" x14ac:dyDescent="0.2">
      <c r="F46" s="18"/>
      <c r="G46" s="18"/>
      <c r="H46" s="19"/>
    </row>
    <row r="47" spans="1:8" x14ac:dyDescent="0.2">
      <c r="F47" s="18"/>
      <c r="G47" s="18"/>
      <c r="H47" s="19"/>
    </row>
    <row r="48" spans="1:8" x14ac:dyDescent="0.2">
      <c r="F48" s="18"/>
      <c r="G48" s="18"/>
      <c r="H48" s="19"/>
    </row>
    <row r="49" spans="6:8" x14ac:dyDescent="0.2">
      <c r="F49" s="18"/>
      <c r="G49" s="18"/>
      <c r="H49" s="19"/>
    </row>
    <row r="50" spans="6:8" x14ac:dyDescent="0.2">
      <c r="F50" s="18"/>
      <c r="G50" s="18"/>
      <c r="H50" s="19"/>
    </row>
    <row r="51" spans="6:8" x14ac:dyDescent="0.2">
      <c r="F51" s="18"/>
      <c r="G51" s="18"/>
      <c r="H51" s="19"/>
    </row>
    <row r="52" spans="6:8" x14ac:dyDescent="0.2">
      <c r="F52" s="18"/>
      <c r="G52" s="18"/>
      <c r="H52" s="19"/>
    </row>
    <row r="53" spans="6:8" x14ac:dyDescent="0.2">
      <c r="F53" s="18"/>
      <c r="G53" s="18"/>
      <c r="H53" s="19"/>
    </row>
    <row r="54" spans="6:8" x14ac:dyDescent="0.2">
      <c r="F54" s="18"/>
      <c r="G54" s="18"/>
      <c r="H54" s="19"/>
    </row>
    <row r="55" spans="6:8" x14ac:dyDescent="0.2">
      <c r="F55" s="18"/>
      <c r="G55" s="18"/>
      <c r="H55" s="19"/>
    </row>
    <row r="56" spans="6:8" x14ac:dyDescent="0.2">
      <c r="F56" s="18"/>
      <c r="G56" s="18"/>
      <c r="H56" s="19"/>
    </row>
    <row r="57" spans="6:8" x14ac:dyDescent="0.2">
      <c r="F57" s="18"/>
      <c r="G57" s="18"/>
      <c r="H57" s="19"/>
    </row>
    <row r="58" spans="6:8" x14ac:dyDescent="0.2">
      <c r="F58" s="18"/>
      <c r="G58" s="18"/>
      <c r="H58" s="19"/>
    </row>
    <row r="59" spans="6:8" x14ac:dyDescent="0.2">
      <c r="F59" s="18"/>
      <c r="G59" s="18"/>
      <c r="H59" s="19"/>
    </row>
    <row r="60" spans="6:8" x14ac:dyDescent="0.2">
      <c r="F60" s="18"/>
      <c r="G60" s="18"/>
      <c r="H60" s="19"/>
    </row>
    <row r="61" spans="6:8" x14ac:dyDescent="0.2">
      <c r="F61" s="18"/>
      <c r="G61" s="18"/>
      <c r="H61" s="19"/>
    </row>
    <row r="62" spans="6:8" x14ac:dyDescent="0.2">
      <c r="F62" s="18"/>
      <c r="G62" s="18"/>
      <c r="H62" s="19"/>
    </row>
    <row r="63" spans="6:8" x14ac:dyDescent="0.2">
      <c r="F63" s="18"/>
      <c r="G63" s="18"/>
      <c r="H63" s="19"/>
    </row>
    <row r="64" spans="6:8" x14ac:dyDescent="0.2">
      <c r="G64" s="18"/>
      <c r="H64" s="19"/>
    </row>
    <row r="65" spans="7:8" x14ac:dyDescent="0.2">
      <c r="G65" s="18"/>
      <c r="H65" s="19"/>
    </row>
    <row r="66" spans="7:8" x14ac:dyDescent="0.2">
      <c r="G66" s="18"/>
      <c r="H66" s="19"/>
    </row>
    <row r="67" spans="7:8" x14ac:dyDescent="0.2">
      <c r="G67" s="18"/>
      <c r="H67" s="19"/>
    </row>
    <row r="68" spans="7:8" x14ac:dyDescent="0.2">
      <c r="G68" s="18"/>
      <c r="H68" s="19"/>
    </row>
    <row r="69" spans="7:8" x14ac:dyDescent="0.2">
      <c r="G69" s="18"/>
      <c r="H69" s="19"/>
    </row>
    <row r="70" spans="7:8" x14ac:dyDescent="0.2">
      <c r="G70" s="18"/>
      <c r="H70" s="19"/>
    </row>
    <row r="71" spans="7:8" x14ac:dyDescent="0.2">
      <c r="G71" s="18"/>
    </row>
    <row r="72" spans="7:8" x14ac:dyDescent="0.2">
      <c r="G72" s="18"/>
    </row>
    <row r="73" spans="7:8" x14ac:dyDescent="0.2">
      <c r="G73" s="18"/>
    </row>
    <row r="74" spans="7:8" x14ac:dyDescent="0.2">
      <c r="G74" s="18"/>
    </row>
    <row r="75" spans="7:8" x14ac:dyDescent="0.2">
      <c r="G75" s="18"/>
    </row>
    <row r="76" spans="7:8" x14ac:dyDescent="0.2">
      <c r="G76" s="18"/>
    </row>
    <row r="77" spans="7:8" x14ac:dyDescent="0.2">
      <c r="G77" s="18"/>
    </row>
    <row r="78" spans="7:8" x14ac:dyDescent="0.2">
      <c r="G78" s="18"/>
    </row>
    <row r="79" spans="7:8" x14ac:dyDescent="0.2">
      <c r="G79" s="18"/>
    </row>
  </sheetData>
  <mergeCells count="4">
    <mergeCell ref="A1:G1"/>
    <mergeCell ref="A2:G2"/>
    <mergeCell ref="A3:G3"/>
    <mergeCell ref="A4:G4"/>
  </mergeCells>
  <phoneticPr fontId="0" type="noConversion"/>
  <printOptions gridLines="1" gridLinesSet="0"/>
  <pageMargins left="0.75" right="0.75" top="1" bottom="1" header="0.5" footer="0.5"/>
  <pageSetup scale="85" orientation="portrait" horizontalDpi="4294967292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4"/>
  <sheetViews>
    <sheetView workbookViewId="0">
      <selection activeCell="K8" sqref="K8"/>
    </sheetView>
  </sheetViews>
  <sheetFormatPr defaultColWidth="8.88671875" defaultRowHeight="17.100000000000001" customHeight="1" x14ac:dyDescent="0.25"/>
  <cols>
    <col min="1" max="1" width="14.33203125" style="103" customWidth="1"/>
    <col min="2" max="2" width="12.109375" style="103" customWidth="1"/>
    <col min="3" max="3" width="12.5546875" style="103" customWidth="1"/>
    <col min="4" max="4" width="10.77734375" style="103" customWidth="1"/>
    <col min="5" max="5" width="35.5546875" style="103" customWidth="1"/>
    <col min="6" max="6" width="4.88671875" style="103" bestFit="1" customWidth="1"/>
    <col min="7" max="7" width="5.5546875" style="103" bestFit="1" customWidth="1"/>
    <col min="8" max="8" width="11.44140625" style="103" customWidth="1"/>
    <col min="9" max="9" width="14.5546875" style="103" customWidth="1"/>
    <col min="10" max="10" width="61.5546875" style="103" customWidth="1"/>
    <col min="11" max="11" width="9.88671875" style="103" bestFit="1" customWidth="1"/>
    <col min="12" max="16384" width="8.88671875" style="103"/>
  </cols>
  <sheetData>
    <row r="1" spans="1:11" ht="17.100000000000001" customHeight="1" x14ac:dyDescent="0.25">
      <c r="A1" s="106" t="s">
        <v>209</v>
      </c>
      <c r="B1" s="107" t="s">
        <v>208</v>
      </c>
      <c r="C1" s="108" t="s">
        <v>207</v>
      </c>
      <c r="D1" s="106" t="s">
        <v>206</v>
      </c>
      <c r="E1" s="106" t="s">
        <v>205</v>
      </c>
      <c r="F1" s="106" t="s">
        <v>204</v>
      </c>
      <c r="G1" s="106" t="s">
        <v>203</v>
      </c>
      <c r="H1" s="106" t="s">
        <v>202</v>
      </c>
      <c r="I1" s="106" t="s">
        <v>201</v>
      </c>
      <c r="J1" s="106" t="s">
        <v>200</v>
      </c>
      <c r="K1" s="106" t="s">
        <v>199</v>
      </c>
    </row>
    <row r="2" spans="1:11" ht="17.100000000000001" customHeight="1" x14ac:dyDescent="0.25">
      <c r="A2" s="106">
        <v>12605253</v>
      </c>
      <c r="B2" s="109">
        <v>43669</v>
      </c>
      <c r="C2" s="108"/>
      <c r="D2" s="106" t="s">
        <v>195</v>
      </c>
      <c r="E2" s="106" t="s">
        <v>194</v>
      </c>
      <c r="F2" s="106">
        <v>300</v>
      </c>
      <c r="G2" s="106">
        <v>3401</v>
      </c>
      <c r="H2" s="106" t="s">
        <v>193</v>
      </c>
      <c r="I2" s="106" t="s">
        <v>192</v>
      </c>
      <c r="J2" s="106" t="s">
        <v>198</v>
      </c>
      <c r="K2" s="112">
        <v>6.85</v>
      </c>
    </row>
    <row r="3" spans="1:11" ht="17.100000000000001" customHeight="1" x14ac:dyDescent="0.25">
      <c r="A3" s="106">
        <v>12605253</v>
      </c>
      <c r="B3" s="109">
        <v>43669</v>
      </c>
      <c r="C3" s="108"/>
      <c r="D3" s="106" t="s">
        <v>195</v>
      </c>
      <c r="E3" s="106" t="s">
        <v>194</v>
      </c>
      <c r="F3" s="106">
        <v>300</v>
      </c>
      <c r="G3" s="106">
        <v>3401</v>
      </c>
      <c r="H3" s="106" t="s">
        <v>193</v>
      </c>
      <c r="I3" s="106" t="s">
        <v>192</v>
      </c>
      <c r="J3" s="106" t="s">
        <v>197</v>
      </c>
      <c r="K3" s="112">
        <v>6.85</v>
      </c>
    </row>
    <row r="4" spans="1:11" ht="17.100000000000001" customHeight="1" x14ac:dyDescent="0.25">
      <c r="A4" s="106">
        <v>12605253</v>
      </c>
      <c r="B4" s="109">
        <v>43669</v>
      </c>
      <c r="C4" s="108"/>
      <c r="D4" s="106" t="s">
        <v>195</v>
      </c>
      <c r="E4" s="106" t="s">
        <v>194</v>
      </c>
      <c r="F4" s="106">
        <v>300</v>
      </c>
      <c r="G4" s="106">
        <v>3401</v>
      </c>
      <c r="H4" s="106" t="s">
        <v>193</v>
      </c>
      <c r="I4" s="106" t="s">
        <v>192</v>
      </c>
      <c r="J4" s="106" t="s">
        <v>196</v>
      </c>
      <c r="K4" s="112">
        <v>16.190000000000001</v>
      </c>
    </row>
    <row r="5" spans="1:11" ht="17.100000000000001" customHeight="1" x14ac:dyDescent="0.25">
      <c r="A5" s="106">
        <v>12605253</v>
      </c>
      <c r="B5" s="109">
        <v>43669</v>
      </c>
      <c r="C5" s="108"/>
      <c r="D5" s="106" t="s">
        <v>195</v>
      </c>
      <c r="E5" s="106" t="s">
        <v>194</v>
      </c>
      <c r="F5" s="106">
        <v>300</v>
      </c>
      <c r="G5" s="106">
        <v>3401</v>
      </c>
      <c r="H5" s="106" t="s">
        <v>193</v>
      </c>
      <c r="I5" s="106" t="s">
        <v>192</v>
      </c>
      <c r="J5" s="106" t="s">
        <v>191</v>
      </c>
      <c r="K5" s="112">
        <v>6.85</v>
      </c>
    </row>
    <row r="6" spans="1:11" ht="17.100000000000001" customHeight="1" x14ac:dyDescent="0.25">
      <c r="A6" s="106">
        <v>12661809</v>
      </c>
      <c r="B6" s="109">
        <v>43726</v>
      </c>
      <c r="C6" s="108"/>
      <c r="D6" s="106" t="s">
        <v>129</v>
      </c>
      <c r="E6" s="106" t="s">
        <v>128</v>
      </c>
      <c r="F6" s="106">
        <v>300</v>
      </c>
      <c r="G6" s="106">
        <v>3401</v>
      </c>
      <c r="H6" s="106">
        <v>26637</v>
      </c>
      <c r="I6" s="106" t="s">
        <v>190</v>
      </c>
      <c r="J6" s="106" t="s">
        <v>174</v>
      </c>
      <c r="K6" s="112">
        <v>25400</v>
      </c>
    </row>
    <row r="7" spans="1:11" ht="17.100000000000001" customHeight="1" x14ac:dyDescent="0.25">
      <c r="A7" s="106">
        <v>12678015</v>
      </c>
      <c r="B7" s="109">
        <v>43739</v>
      </c>
      <c r="C7" s="108"/>
      <c r="D7" s="106" t="s">
        <v>129</v>
      </c>
      <c r="E7" s="106" t="s">
        <v>128</v>
      </c>
      <c r="F7" s="106">
        <v>300</v>
      </c>
      <c r="G7" s="106">
        <v>3401</v>
      </c>
      <c r="H7" s="106">
        <v>26730</v>
      </c>
      <c r="I7" s="106" t="s">
        <v>189</v>
      </c>
      <c r="J7" s="106" t="s">
        <v>174</v>
      </c>
      <c r="K7" s="112">
        <v>22225</v>
      </c>
    </row>
    <row r="8" spans="1:11" s="114" customFormat="1" ht="12" x14ac:dyDescent="0.2">
      <c r="A8" s="115">
        <v>12724607</v>
      </c>
      <c r="B8" s="109">
        <v>43782</v>
      </c>
      <c r="C8" s="108"/>
      <c r="D8" s="115" t="s">
        <v>186</v>
      </c>
      <c r="E8" s="115" t="s">
        <v>185</v>
      </c>
      <c r="F8" s="115">
        <v>300</v>
      </c>
      <c r="G8" s="115">
        <v>3401</v>
      </c>
      <c r="H8" s="115">
        <v>110626</v>
      </c>
      <c r="I8" s="115" t="s">
        <v>210</v>
      </c>
      <c r="J8" s="115" t="s">
        <v>211</v>
      </c>
      <c r="K8" s="116">
        <v>10185</v>
      </c>
    </row>
    <row r="9" spans="1:11" ht="17.100000000000001" customHeight="1" x14ac:dyDescent="0.25">
      <c r="A9" s="106">
        <v>12699681</v>
      </c>
      <c r="B9" s="109">
        <v>43762</v>
      </c>
      <c r="C9" s="108"/>
      <c r="D9" s="106" t="s">
        <v>142</v>
      </c>
      <c r="E9" s="106" t="s">
        <v>168</v>
      </c>
      <c r="F9" s="106">
        <v>300</v>
      </c>
      <c r="G9" s="106">
        <v>3401</v>
      </c>
      <c r="H9" s="106" t="s">
        <v>188</v>
      </c>
      <c r="I9" s="106" t="s">
        <v>187</v>
      </c>
      <c r="J9" s="106" t="s">
        <v>162</v>
      </c>
      <c r="K9" s="112">
        <v>4500.6000000000004</v>
      </c>
    </row>
    <row r="10" spans="1:11" ht="17.100000000000001" customHeight="1" x14ac:dyDescent="0.25">
      <c r="A10" s="106">
        <v>12701358</v>
      </c>
      <c r="B10" s="109">
        <v>43766</v>
      </c>
      <c r="C10" s="108"/>
      <c r="D10" s="106" t="s">
        <v>186</v>
      </c>
      <c r="E10" s="106" t="s">
        <v>185</v>
      </c>
      <c r="F10" s="106">
        <v>300</v>
      </c>
      <c r="G10" s="106">
        <v>3401</v>
      </c>
      <c r="H10" s="106">
        <v>110617</v>
      </c>
      <c r="I10" s="106" t="s">
        <v>184</v>
      </c>
      <c r="J10" s="106" t="s">
        <v>183</v>
      </c>
      <c r="K10" s="112">
        <v>6800</v>
      </c>
    </row>
    <row r="11" spans="1:11" ht="17.100000000000001" customHeight="1" x14ac:dyDescent="0.25">
      <c r="A11" s="106">
        <v>12701420</v>
      </c>
      <c r="B11" s="109">
        <v>43760</v>
      </c>
      <c r="C11" s="108"/>
      <c r="D11" s="106" t="s">
        <v>182</v>
      </c>
      <c r="E11" s="106" t="s">
        <v>181</v>
      </c>
      <c r="F11" s="106">
        <v>300</v>
      </c>
      <c r="G11" s="106">
        <v>3401</v>
      </c>
      <c r="H11" s="106" t="s">
        <v>180</v>
      </c>
      <c r="I11" s="106" t="s">
        <v>179</v>
      </c>
      <c r="J11" s="106" t="s">
        <v>178</v>
      </c>
      <c r="K11" s="112">
        <v>10000</v>
      </c>
    </row>
    <row r="12" spans="1:11" ht="17.100000000000001" customHeight="1" x14ac:dyDescent="0.25">
      <c r="A12" s="106">
        <v>12672134</v>
      </c>
      <c r="B12" s="109">
        <v>43732</v>
      </c>
      <c r="C12" s="108"/>
      <c r="D12" s="106" t="s">
        <v>142</v>
      </c>
      <c r="E12" s="106" t="s">
        <v>168</v>
      </c>
      <c r="F12" s="106">
        <v>300</v>
      </c>
      <c r="G12" s="106">
        <v>3401</v>
      </c>
      <c r="H12" s="106" t="s">
        <v>177</v>
      </c>
      <c r="I12" s="106" t="s">
        <v>176</v>
      </c>
      <c r="J12" s="106" t="s">
        <v>162</v>
      </c>
      <c r="K12" s="112">
        <v>4616</v>
      </c>
    </row>
    <row r="13" spans="1:11" ht="17.100000000000001" customHeight="1" x14ac:dyDescent="0.25">
      <c r="A13" s="106">
        <v>12720022</v>
      </c>
      <c r="B13" s="109">
        <v>43782</v>
      </c>
      <c r="C13" s="108"/>
      <c r="D13" s="106" t="s">
        <v>129</v>
      </c>
      <c r="E13" s="106" t="s">
        <v>128</v>
      </c>
      <c r="F13" s="106">
        <v>300</v>
      </c>
      <c r="G13" s="106">
        <v>3401</v>
      </c>
      <c r="H13" s="106">
        <v>26796</v>
      </c>
      <c r="I13" s="106" t="s">
        <v>175</v>
      </c>
      <c r="J13" s="106" t="s">
        <v>174</v>
      </c>
      <c r="K13" s="112">
        <v>6350</v>
      </c>
    </row>
    <row r="14" spans="1:11" ht="17.100000000000001" customHeight="1" x14ac:dyDescent="0.25">
      <c r="A14" s="106">
        <v>12752583</v>
      </c>
      <c r="B14" s="109">
        <v>43811</v>
      </c>
      <c r="C14" s="108"/>
      <c r="D14" s="106" t="s">
        <v>142</v>
      </c>
      <c r="E14" s="106" t="s">
        <v>168</v>
      </c>
      <c r="F14" s="106">
        <v>300</v>
      </c>
      <c r="G14" s="106">
        <v>3401</v>
      </c>
      <c r="H14" s="106" t="s">
        <v>173</v>
      </c>
      <c r="I14" s="106" t="s">
        <v>172</v>
      </c>
      <c r="J14" s="106" t="s">
        <v>162</v>
      </c>
      <c r="K14" s="112">
        <v>2885</v>
      </c>
    </row>
    <row r="15" spans="1:11" ht="17.100000000000001" customHeight="1" x14ac:dyDescent="0.25">
      <c r="A15" s="106">
        <v>12759210</v>
      </c>
      <c r="B15" s="107"/>
      <c r="C15" s="108"/>
      <c r="D15" s="106" t="s">
        <v>142</v>
      </c>
      <c r="E15" s="106" t="s">
        <v>168</v>
      </c>
      <c r="F15" s="106">
        <v>300</v>
      </c>
      <c r="G15" s="106">
        <v>3401</v>
      </c>
      <c r="H15" s="106" t="s">
        <v>171</v>
      </c>
      <c r="I15" s="106" t="s">
        <v>170</v>
      </c>
      <c r="J15" s="106" t="s">
        <v>169</v>
      </c>
      <c r="K15" s="112">
        <v>2885</v>
      </c>
    </row>
    <row r="16" spans="1:11" ht="17.100000000000001" customHeight="1" x14ac:dyDescent="0.25">
      <c r="A16" s="106">
        <v>12759210</v>
      </c>
      <c r="B16" s="107"/>
      <c r="C16" s="108"/>
      <c r="D16" s="106" t="s">
        <v>142</v>
      </c>
      <c r="E16" s="106" t="s">
        <v>168</v>
      </c>
      <c r="F16" s="106">
        <v>300</v>
      </c>
      <c r="G16" s="106">
        <v>3401</v>
      </c>
      <c r="H16" s="106" t="s">
        <v>171</v>
      </c>
      <c r="I16" s="106" t="s">
        <v>170</v>
      </c>
      <c r="J16" s="106" t="s">
        <v>169</v>
      </c>
      <c r="K16" s="112">
        <v>-2885</v>
      </c>
    </row>
    <row r="17" spans="1:11" ht="17.100000000000001" customHeight="1" x14ac:dyDescent="0.25">
      <c r="A17" s="106">
        <v>12774444</v>
      </c>
      <c r="B17" s="109">
        <v>43837</v>
      </c>
      <c r="C17" s="108"/>
      <c r="D17" s="106" t="s">
        <v>142</v>
      </c>
      <c r="E17" s="106" t="s">
        <v>168</v>
      </c>
      <c r="F17" s="106">
        <v>300</v>
      </c>
      <c r="G17" s="106">
        <v>3401</v>
      </c>
      <c r="H17" s="106" t="s">
        <v>167</v>
      </c>
      <c r="I17" s="106" t="s">
        <v>166</v>
      </c>
      <c r="J17" s="106" t="s">
        <v>165</v>
      </c>
      <c r="K17" s="112">
        <v>1673.3</v>
      </c>
    </row>
    <row r="18" spans="1:11" ht="17.100000000000001" customHeight="1" x14ac:dyDescent="0.25">
      <c r="A18" s="106">
        <v>12810334</v>
      </c>
      <c r="B18" s="109">
        <v>43875</v>
      </c>
      <c r="C18" s="108"/>
      <c r="D18" s="106" t="s">
        <v>142</v>
      </c>
      <c r="E18" s="106" t="s">
        <v>141</v>
      </c>
      <c r="F18" s="106">
        <v>300</v>
      </c>
      <c r="G18" s="106">
        <v>3401</v>
      </c>
      <c r="H18" s="106" t="s">
        <v>164</v>
      </c>
      <c r="I18" s="106" t="s">
        <v>163</v>
      </c>
      <c r="J18" s="106" t="s">
        <v>162</v>
      </c>
      <c r="K18" s="112">
        <v>1904.1</v>
      </c>
    </row>
    <row r="19" spans="1:11" ht="17.100000000000001" customHeight="1" x14ac:dyDescent="0.25">
      <c r="A19" s="106">
        <v>12814539</v>
      </c>
      <c r="B19" s="109">
        <v>43880</v>
      </c>
      <c r="C19" s="108"/>
      <c r="D19" s="106" t="s">
        <v>157</v>
      </c>
      <c r="E19" s="106" t="s">
        <v>156</v>
      </c>
      <c r="F19" s="106">
        <v>300</v>
      </c>
      <c r="G19" s="106">
        <v>3401</v>
      </c>
      <c r="H19" s="106">
        <v>4529</v>
      </c>
      <c r="I19" s="106" t="s">
        <v>161</v>
      </c>
      <c r="J19" s="106" t="s">
        <v>160</v>
      </c>
      <c r="K19" s="112">
        <v>500</v>
      </c>
    </row>
    <row r="20" spans="1:11" ht="17.100000000000001" customHeight="1" x14ac:dyDescent="0.25">
      <c r="A20" s="106">
        <v>12816091</v>
      </c>
      <c r="B20" s="109">
        <v>43885</v>
      </c>
      <c r="C20" s="108"/>
      <c r="D20" s="106" t="s">
        <v>129</v>
      </c>
      <c r="E20" s="106" t="s">
        <v>128</v>
      </c>
      <c r="F20" s="106">
        <v>300</v>
      </c>
      <c r="G20" s="106">
        <v>3401</v>
      </c>
      <c r="H20" s="106">
        <v>26892</v>
      </c>
      <c r="I20" s="106" t="s">
        <v>159</v>
      </c>
      <c r="J20" s="106" t="s">
        <v>158</v>
      </c>
      <c r="K20" s="112">
        <v>9525</v>
      </c>
    </row>
    <row r="21" spans="1:11" ht="17.100000000000001" customHeight="1" x14ac:dyDescent="0.25">
      <c r="A21" s="106">
        <v>12838504</v>
      </c>
      <c r="B21" s="109">
        <v>43900</v>
      </c>
      <c r="C21" s="108"/>
      <c r="D21" s="106" t="s">
        <v>157</v>
      </c>
      <c r="E21" s="106" t="s">
        <v>156</v>
      </c>
      <c r="F21" s="106">
        <v>300</v>
      </c>
      <c r="G21" s="106">
        <v>3401</v>
      </c>
      <c r="H21" s="106">
        <v>137</v>
      </c>
      <c r="I21" s="106" t="s">
        <v>155</v>
      </c>
      <c r="J21" s="106" t="s">
        <v>154</v>
      </c>
      <c r="K21" s="112">
        <v>500</v>
      </c>
    </row>
    <row r="22" spans="1:11" ht="17.100000000000001" customHeight="1" x14ac:dyDescent="0.25">
      <c r="A22" s="106">
        <v>12838446</v>
      </c>
      <c r="B22" s="109">
        <v>43900</v>
      </c>
      <c r="C22" s="108"/>
      <c r="D22" s="106" t="s">
        <v>142</v>
      </c>
      <c r="E22" s="106" t="s">
        <v>141</v>
      </c>
      <c r="F22" s="106">
        <v>300</v>
      </c>
      <c r="G22" s="106">
        <v>3401</v>
      </c>
      <c r="H22" s="106" t="s">
        <v>153</v>
      </c>
      <c r="I22" s="106" t="s">
        <v>152</v>
      </c>
      <c r="J22" s="106" t="s">
        <v>151</v>
      </c>
      <c r="K22" s="112">
        <v>4616</v>
      </c>
    </row>
    <row r="23" spans="1:11" ht="17.100000000000001" customHeight="1" x14ac:dyDescent="0.25">
      <c r="A23" s="106">
        <v>12861738</v>
      </c>
      <c r="B23" s="109">
        <v>43930</v>
      </c>
      <c r="C23" s="108"/>
      <c r="D23" s="106" t="s">
        <v>129</v>
      </c>
      <c r="E23" s="106" t="s">
        <v>128</v>
      </c>
      <c r="F23" s="106">
        <v>300</v>
      </c>
      <c r="G23" s="106">
        <v>3401</v>
      </c>
      <c r="H23" s="106">
        <v>27183</v>
      </c>
      <c r="I23" s="106" t="s">
        <v>150</v>
      </c>
      <c r="J23" s="106" t="s">
        <v>126</v>
      </c>
      <c r="K23" s="112">
        <v>179752</v>
      </c>
    </row>
    <row r="24" spans="1:11" ht="17.100000000000001" customHeight="1" x14ac:dyDescent="0.25">
      <c r="A24" s="106">
        <v>12886755</v>
      </c>
      <c r="B24" s="109">
        <v>43942</v>
      </c>
      <c r="C24" s="108"/>
      <c r="D24" s="106" t="s">
        <v>142</v>
      </c>
      <c r="E24" s="106" t="s">
        <v>141</v>
      </c>
      <c r="F24" s="106">
        <v>300</v>
      </c>
      <c r="G24" s="106">
        <v>3401</v>
      </c>
      <c r="H24" s="106" t="s">
        <v>149</v>
      </c>
      <c r="I24" s="106" t="s">
        <v>148</v>
      </c>
      <c r="J24" s="106" t="s">
        <v>147</v>
      </c>
      <c r="K24" s="112">
        <v>2885</v>
      </c>
    </row>
    <row r="25" spans="1:11" ht="17.100000000000001" customHeight="1" x14ac:dyDescent="0.25">
      <c r="A25" s="106">
        <v>12892020</v>
      </c>
      <c r="B25" s="109">
        <v>43951</v>
      </c>
      <c r="C25" s="108"/>
      <c r="D25" s="106" t="s">
        <v>129</v>
      </c>
      <c r="E25" s="106" t="s">
        <v>128</v>
      </c>
      <c r="F25" s="106">
        <v>300</v>
      </c>
      <c r="G25" s="106">
        <v>3401</v>
      </c>
      <c r="H25" s="106">
        <v>27250</v>
      </c>
      <c r="I25" s="106" t="s">
        <v>146</v>
      </c>
      <c r="J25" s="106" t="s">
        <v>126</v>
      </c>
      <c r="K25" s="112">
        <v>21712</v>
      </c>
    </row>
    <row r="26" spans="1:11" ht="17.100000000000001" customHeight="1" x14ac:dyDescent="0.25">
      <c r="A26" s="106">
        <v>12897787</v>
      </c>
      <c r="B26" s="109">
        <v>43955</v>
      </c>
      <c r="C26" s="108"/>
      <c r="D26" s="106" t="s">
        <v>142</v>
      </c>
      <c r="E26" s="106" t="s">
        <v>141</v>
      </c>
      <c r="F26" s="106">
        <v>300</v>
      </c>
      <c r="G26" s="106">
        <v>3401</v>
      </c>
      <c r="H26" s="106" t="s">
        <v>145</v>
      </c>
      <c r="I26" s="106" t="s">
        <v>144</v>
      </c>
      <c r="J26" s="106" t="s">
        <v>143</v>
      </c>
      <c r="K26" s="112">
        <v>11040</v>
      </c>
    </row>
    <row r="27" spans="1:11" ht="17.100000000000001" customHeight="1" x14ac:dyDescent="0.25">
      <c r="A27" s="106">
        <v>12954675</v>
      </c>
      <c r="B27" s="109">
        <v>43993</v>
      </c>
      <c r="C27" s="108"/>
      <c r="D27" s="106" t="s">
        <v>142</v>
      </c>
      <c r="E27" s="106" t="s">
        <v>141</v>
      </c>
      <c r="F27" s="106">
        <v>300</v>
      </c>
      <c r="G27" s="106">
        <v>3401</v>
      </c>
      <c r="H27" s="106" t="s">
        <v>140</v>
      </c>
      <c r="I27" s="106" t="s">
        <v>139</v>
      </c>
      <c r="J27" s="106" t="s">
        <v>138</v>
      </c>
      <c r="K27" s="112">
        <v>7915</v>
      </c>
    </row>
    <row r="28" spans="1:11" ht="17.100000000000001" customHeight="1" x14ac:dyDescent="0.25">
      <c r="A28" s="106">
        <v>12983124</v>
      </c>
      <c r="B28" s="109">
        <v>44007</v>
      </c>
      <c r="C28" s="108"/>
      <c r="D28" s="106" t="s">
        <v>129</v>
      </c>
      <c r="E28" s="106" t="s">
        <v>128</v>
      </c>
      <c r="F28" s="106">
        <v>300</v>
      </c>
      <c r="G28" s="106">
        <v>3401</v>
      </c>
      <c r="H28" s="106">
        <v>27390</v>
      </c>
      <c r="I28" s="106" t="s">
        <v>137</v>
      </c>
      <c r="J28" s="106" t="s">
        <v>126</v>
      </c>
      <c r="K28" s="112">
        <v>10376</v>
      </c>
    </row>
    <row r="29" spans="1:11" ht="17.100000000000001" customHeight="1" x14ac:dyDescent="0.25">
      <c r="A29" s="106">
        <v>13015041</v>
      </c>
      <c r="B29" s="109">
        <v>44028</v>
      </c>
      <c r="C29" s="108"/>
      <c r="D29" s="106" t="s">
        <v>129</v>
      </c>
      <c r="E29" s="106" t="s">
        <v>128</v>
      </c>
      <c r="F29" s="106">
        <v>300</v>
      </c>
      <c r="G29" s="106">
        <v>3401</v>
      </c>
      <c r="H29" s="106">
        <v>27422</v>
      </c>
      <c r="I29" s="106" t="s">
        <v>136</v>
      </c>
      <c r="J29" s="106" t="s">
        <v>135</v>
      </c>
      <c r="K29" s="112">
        <v>30762.400000000001</v>
      </c>
    </row>
    <row r="30" spans="1:11" ht="17.100000000000001" customHeight="1" x14ac:dyDescent="0.25">
      <c r="A30" s="110">
        <v>202007060312370</v>
      </c>
      <c r="B30" s="107"/>
      <c r="C30" s="111">
        <v>44020</v>
      </c>
      <c r="D30" s="106" t="s">
        <v>134</v>
      </c>
      <c r="E30" s="106" t="s">
        <v>133</v>
      </c>
      <c r="F30" s="106">
        <v>300</v>
      </c>
      <c r="G30" s="106">
        <v>3401</v>
      </c>
      <c r="H30" s="106" t="s">
        <v>132</v>
      </c>
      <c r="I30" s="106" t="s">
        <v>131</v>
      </c>
      <c r="J30" s="106" t="s">
        <v>130</v>
      </c>
      <c r="K30" s="112">
        <v>36200</v>
      </c>
    </row>
    <row r="31" spans="1:11" ht="17.100000000000001" customHeight="1" x14ac:dyDescent="0.25">
      <c r="A31" s="106">
        <v>13104390</v>
      </c>
      <c r="B31" s="107"/>
      <c r="C31" s="108"/>
      <c r="D31" s="106" t="s">
        <v>129</v>
      </c>
      <c r="E31" s="106" t="s">
        <v>128</v>
      </c>
      <c r="F31" s="106">
        <v>300</v>
      </c>
      <c r="G31" s="106">
        <v>3401</v>
      </c>
      <c r="H31" s="106">
        <v>27529</v>
      </c>
      <c r="I31" s="106" t="s">
        <v>127</v>
      </c>
      <c r="J31" s="106" t="s">
        <v>126</v>
      </c>
      <c r="K31" s="112">
        <v>70049.600000000006</v>
      </c>
    </row>
    <row r="32" spans="1:11" ht="17.100000000000001" customHeight="1" x14ac:dyDescent="0.25">
      <c r="B32" s="104"/>
      <c r="C32" s="105"/>
    </row>
    <row r="33" spans="2:11" ht="17.100000000000001" customHeight="1" x14ac:dyDescent="0.25">
      <c r="B33" s="104"/>
      <c r="C33" s="105"/>
    </row>
    <row r="34" spans="2:11" ht="17.100000000000001" customHeight="1" x14ac:dyDescent="0.25">
      <c r="K34" s="113">
        <f>SUM(K2:K33)</f>
        <v>482408.74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PROJECT</vt:lpstr>
      <vt:lpstr>EXPENDITURES</vt:lpstr>
      <vt:lpstr>NOTES</vt:lpstr>
      <vt:lpstr>DATA</vt:lpstr>
      <vt:lpstr>CHECK CLEAR</vt:lpstr>
      <vt:lpstr>EXPENDITURES!Print_Area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2022-09-26T07:04:59Z</cp:lastPrinted>
  <dcterms:created xsi:type="dcterms:W3CDTF">1999-12-06T21:37:36Z</dcterms:created>
  <dcterms:modified xsi:type="dcterms:W3CDTF">2024-12-19T22:46:16Z</dcterms:modified>
</cp:coreProperties>
</file>