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2\"/>
    </mc:Choice>
  </mc:AlternateContent>
  <xr:revisionPtr revIDLastSave="0" documentId="13_ncr:1_{86B098BC-10E2-48D0-B229-EEF8C2EC607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Sheet1" sheetId="5" r:id="rId2"/>
    <sheet name="BUDGET" sheetId="2" r:id="rId3"/>
    <sheet name="Lucas CO Funding" sheetId="3" r:id="rId4"/>
    <sheet name="DATA" sheetId="4" r:id="rId5"/>
  </sheets>
  <definedNames>
    <definedName name="_Order1" hidden="1">255</definedName>
    <definedName name="_Order2" hidden="1">255</definedName>
    <definedName name="_xlnm.Print_Area" localSheetId="2">BUDGET!$B$1:$I$54</definedName>
    <definedName name="_xlnm.Print_Area" localSheetId="4">DATA!#REF!</definedName>
    <definedName name="_xlnm.Print_Area" localSheetId="0">PROJECT!$A$13:$K$29</definedName>
    <definedName name="Print_Area_MI" localSheetId="4">DATA!#REF!</definedName>
    <definedName name="_xlnm.Print_Titles" localSheetId="0">PROJECT!$2:$12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1" i="1" l="1"/>
  <c r="G381" i="1"/>
  <c r="H381" i="1"/>
  <c r="E382" i="1"/>
  <c r="G382" i="1"/>
  <c r="H382" i="1"/>
  <c r="E383" i="1"/>
  <c r="G383" i="1"/>
  <c r="H383" i="1"/>
  <c r="E384" i="1"/>
  <c r="G384" i="1"/>
  <c r="H384" i="1"/>
  <c r="E385" i="1"/>
  <c r="G385" i="1"/>
  <c r="H385" i="1"/>
  <c r="D65" i="5"/>
  <c r="F65" i="5"/>
  <c r="I65" i="5"/>
  <c r="H64" i="5" l="1"/>
  <c r="G64" i="5"/>
  <c r="E64" i="5"/>
  <c r="H63" i="5"/>
  <c r="G63" i="5"/>
  <c r="E63" i="5"/>
  <c r="H62" i="5"/>
  <c r="G62" i="5"/>
  <c r="E62" i="5"/>
  <c r="H61" i="5"/>
  <c r="G61" i="5"/>
  <c r="E61" i="5"/>
  <c r="H60" i="5"/>
  <c r="G60" i="5"/>
  <c r="E60" i="5"/>
  <c r="H59" i="5"/>
  <c r="G59" i="5"/>
  <c r="E59" i="5"/>
  <c r="H58" i="5"/>
  <c r="G58" i="5"/>
  <c r="E58" i="5"/>
  <c r="H57" i="5"/>
  <c r="G57" i="5"/>
  <c r="E57" i="5"/>
  <c r="H56" i="5"/>
  <c r="G56" i="5"/>
  <c r="E56" i="5"/>
  <c r="H55" i="5"/>
  <c r="G55" i="5"/>
  <c r="E55" i="5"/>
  <c r="H54" i="5"/>
  <c r="G54" i="5"/>
  <c r="E54" i="5"/>
  <c r="H53" i="5"/>
  <c r="G53" i="5"/>
  <c r="E53" i="5"/>
  <c r="H52" i="5"/>
  <c r="G52" i="5"/>
  <c r="E52" i="5"/>
  <c r="H51" i="5"/>
  <c r="G51" i="5"/>
  <c r="E51" i="5"/>
  <c r="H50" i="5"/>
  <c r="G50" i="5"/>
  <c r="E50" i="5"/>
  <c r="H49" i="5"/>
  <c r="G49" i="5"/>
  <c r="E49" i="5"/>
  <c r="G48" i="5"/>
  <c r="E48" i="5"/>
  <c r="H47" i="5"/>
  <c r="G47" i="5"/>
  <c r="E47" i="5"/>
  <c r="H46" i="5"/>
  <c r="G46" i="5"/>
  <c r="E46" i="5"/>
  <c r="H45" i="5"/>
  <c r="G45" i="5"/>
  <c r="E45" i="5"/>
  <c r="H44" i="5"/>
  <c r="G44" i="5"/>
  <c r="E44" i="5"/>
  <c r="H43" i="5"/>
  <c r="G43" i="5"/>
  <c r="E43" i="5"/>
  <c r="H42" i="5"/>
  <c r="G42" i="5"/>
  <c r="E42" i="5"/>
  <c r="H41" i="5"/>
  <c r="G41" i="5"/>
  <c r="E41" i="5"/>
  <c r="H40" i="5"/>
  <c r="G40" i="5"/>
  <c r="E40" i="5"/>
  <c r="H39" i="5"/>
  <c r="G39" i="5"/>
  <c r="E39" i="5"/>
  <c r="H38" i="5"/>
  <c r="G38" i="5"/>
  <c r="E38" i="5"/>
  <c r="G37" i="5"/>
  <c r="G36" i="5"/>
  <c r="H35" i="5"/>
  <c r="G35" i="5"/>
  <c r="E35" i="5"/>
  <c r="H34" i="5"/>
  <c r="G34" i="5"/>
  <c r="E34" i="5"/>
  <c r="H33" i="5"/>
  <c r="G33" i="5"/>
  <c r="E33" i="5"/>
  <c r="H32" i="5"/>
  <c r="G32" i="5"/>
  <c r="E32" i="5"/>
  <c r="H31" i="5"/>
  <c r="G31" i="5"/>
  <c r="E31" i="5"/>
  <c r="H30" i="5"/>
  <c r="G30" i="5"/>
  <c r="E30" i="5"/>
  <c r="H29" i="5"/>
  <c r="G29" i="5"/>
  <c r="E29" i="5"/>
  <c r="H28" i="5"/>
  <c r="G28" i="5"/>
  <c r="E28" i="5"/>
  <c r="H27" i="5"/>
  <c r="G27" i="5"/>
  <c r="E27" i="5"/>
  <c r="H26" i="5"/>
  <c r="G26" i="5"/>
  <c r="E26" i="5"/>
  <c r="H25" i="5"/>
  <c r="G25" i="5"/>
  <c r="E25" i="5"/>
  <c r="H24" i="5"/>
  <c r="G24" i="5"/>
  <c r="E24" i="5"/>
  <c r="G23" i="5"/>
  <c r="H22" i="5"/>
  <c r="G22" i="5"/>
  <c r="E22" i="5"/>
  <c r="H21" i="5"/>
  <c r="G21" i="5"/>
  <c r="E21" i="5"/>
  <c r="H20" i="5"/>
  <c r="G20" i="5"/>
  <c r="E20" i="5"/>
  <c r="H19" i="5"/>
  <c r="G19" i="5"/>
  <c r="E19" i="5"/>
  <c r="H18" i="5"/>
  <c r="G18" i="5"/>
  <c r="E18" i="5"/>
  <c r="H17" i="5"/>
  <c r="G17" i="5"/>
  <c r="E17" i="5"/>
  <c r="H16" i="5"/>
  <c r="G16" i="5"/>
  <c r="E16" i="5"/>
  <c r="H15" i="5"/>
  <c r="G15" i="5"/>
  <c r="E15" i="5"/>
  <c r="H14" i="5"/>
  <c r="G14" i="5"/>
  <c r="E14" i="5"/>
  <c r="H13" i="5"/>
  <c r="G13" i="5"/>
  <c r="E13" i="5"/>
  <c r="H12" i="5"/>
  <c r="G12" i="5"/>
  <c r="E12" i="5"/>
  <c r="H11" i="5"/>
  <c r="G11" i="5"/>
  <c r="E11" i="5"/>
  <c r="H10" i="5"/>
  <c r="G10" i="5"/>
  <c r="E10" i="5"/>
  <c r="G9" i="5"/>
  <c r="H8" i="5"/>
  <c r="G8" i="5"/>
  <c r="E8" i="5"/>
  <c r="A8" i="5"/>
  <c r="H7" i="5"/>
  <c r="G7" i="5"/>
  <c r="E7" i="5"/>
  <c r="H6" i="5"/>
  <c r="G6" i="5"/>
  <c r="E6" i="5"/>
  <c r="G5" i="5"/>
  <c r="H4" i="5"/>
  <c r="G4" i="5"/>
  <c r="E4" i="5"/>
  <c r="H3" i="5"/>
  <c r="H65" i="5" s="1"/>
  <c r="G3" i="5"/>
  <c r="G65" i="5" s="1"/>
  <c r="E3" i="5"/>
  <c r="E65" i="5" s="1"/>
  <c r="H2" i="5"/>
  <c r="G2" i="5"/>
  <c r="E2" i="5"/>
  <c r="I3" i="1" l="1"/>
  <c r="I5" i="1" l="1"/>
  <c r="G115" i="1" l="1"/>
  <c r="G116" i="1"/>
  <c r="G117" i="1"/>
  <c r="G279" i="1" l="1"/>
  <c r="G280" i="1"/>
  <c r="G281" i="1"/>
  <c r="G282" i="1"/>
  <c r="G283" i="1"/>
  <c r="G284" i="1"/>
  <c r="G285" i="1"/>
  <c r="G286" i="1"/>
  <c r="G287" i="1"/>
  <c r="G288" i="1"/>
  <c r="G289" i="1"/>
  <c r="G290" i="1"/>
  <c r="G292" i="1"/>
  <c r="G293" i="1"/>
  <c r="G294" i="1"/>
  <c r="G295" i="1"/>
  <c r="G296" i="1"/>
  <c r="G297" i="1"/>
  <c r="G298" i="1"/>
  <c r="G299" i="1"/>
  <c r="G300" i="1"/>
  <c r="O60" i="2"/>
  <c r="O61" i="2"/>
  <c r="M59" i="2"/>
  <c r="O59" i="2" s="1"/>
  <c r="M58" i="2"/>
  <c r="A266" i="1" l="1"/>
  <c r="M57" i="2"/>
  <c r="N56" i="2" l="1"/>
  <c r="M56" i="2"/>
  <c r="L11" i="1" l="1"/>
  <c r="I11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0" i="1"/>
  <c r="G380" i="1"/>
  <c r="H379" i="1"/>
  <c r="G379" i="1"/>
  <c r="H378" i="1"/>
  <c r="G378" i="1"/>
  <c r="H377" i="1"/>
  <c r="H376" i="1"/>
  <c r="G376" i="1"/>
  <c r="H375" i="1"/>
  <c r="H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H317" i="1"/>
  <c r="H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G276" i="1"/>
  <c r="H275" i="1"/>
  <c r="G275" i="1"/>
  <c r="H274" i="1"/>
  <c r="H273" i="1"/>
  <c r="G273" i="1"/>
  <c r="H272" i="1"/>
  <c r="H271" i="1"/>
  <c r="G271" i="1"/>
  <c r="H270" i="1"/>
  <c r="G270" i="1"/>
  <c r="H269" i="1"/>
  <c r="G269" i="1"/>
  <c r="H268" i="1"/>
  <c r="G268" i="1"/>
  <c r="H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H254" i="1"/>
  <c r="H253" i="1"/>
  <c r="G253" i="1"/>
  <c r="H252" i="1"/>
  <c r="H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N5" i="1" l="1"/>
  <c r="D241" i="1" l="1"/>
  <c r="D11" i="1" s="1"/>
  <c r="M55" i="2"/>
  <c r="M54" i="2" l="1"/>
  <c r="M53" i="2"/>
  <c r="M51" i="2"/>
  <c r="M50" i="2"/>
  <c r="M49" i="2"/>
  <c r="M21" i="2"/>
  <c r="N48" i="2"/>
  <c r="N66" i="2" s="1"/>
  <c r="M48" i="2"/>
  <c r="L97" i="3"/>
  <c r="L96" i="3"/>
  <c r="L95" i="3"/>
  <c r="L94" i="3"/>
  <c r="J93" i="3"/>
  <c r="L92" i="3"/>
  <c r="L91" i="3"/>
  <c r="J90" i="3"/>
  <c r="J89" i="3"/>
  <c r="L88" i="3"/>
  <c r="J87" i="3"/>
  <c r="L86" i="3"/>
  <c r="L85" i="3"/>
  <c r="J84" i="3"/>
  <c r="J83" i="3"/>
  <c r="L82" i="3"/>
  <c r="L81" i="3"/>
  <c r="L80" i="3"/>
  <c r="L79" i="3"/>
  <c r="J78" i="3"/>
  <c r="J77" i="3"/>
  <c r="L75" i="3"/>
  <c r="J74" i="3"/>
  <c r="J73" i="3"/>
  <c r="J72" i="3"/>
  <c r="J71" i="3"/>
  <c r="L70" i="3"/>
  <c r="J69" i="3"/>
  <c r="J68" i="3"/>
  <c r="L67" i="3"/>
  <c r="J66" i="3"/>
  <c r="L65" i="3"/>
  <c r="L64" i="3"/>
  <c r="L63" i="3"/>
  <c r="L62" i="3"/>
  <c r="J61" i="3"/>
  <c r="L60" i="3"/>
  <c r="J59" i="3"/>
  <c r="J58" i="3"/>
  <c r="J56" i="3"/>
  <c r="J55" i="3"/>
  <c r="J52" i="3"/>
  <c r="J51" i="3"/>
  <c r="J50" i="3"/>
  <c r="J49" i="3"/>
  <c r="L48" i="3"/>
  <c r="L47" i="3"/>
  <c r="J46" i="3"/>
  <c r="J45" i="3"/>
  <c r="J44" i="3"/>
  <c r="J43" i="3"/>
  <c r="J42" i="3"/>
  <c r="L41" i="3"/>
  <c r="J40" i="3"/>
  <c r="J39" i="3"/>
  <c r="J38" i="3"/>
  <c r="L36" i="3"/>
  <c r="L35" i="3"/>
  <c r="J34" i="3"/>
  <c r="J33" i="3"/>
  <c r="J31" i="3"/>
  <c r="L30" i="3"/>
  <c r="J29" i="3"/>
  <c r="J28" i="3"/>
  <c r="L27" i="3"/>
  <c r="J26" i="3"/>
  <c r="L25" i="3"/>
  <c r="J24" i="3"/>
  <c r="J22" i="3"/>
  <c r="J21" i="3"/>
  <c r="L20" i="3"/>
  <c r="L19" i="3"/>
  <c r="J18" i="3"/>
  <c r="L17" i="3"/>
  <c r="J16" i="3"/>
  <c r="L15" i="3"/>
  <c r="L14" i="3"/>
  <c r="L13" i="3"/>
  <c r="L12" i="3"/>
  <c r="L11" i="3"/>
  <c r="L9" i="3"/>
  <c r="L8" i="3"/>
  <c r="J7" i="3"/>
  <c r="J6" i="3"/>
  <c r="L4" i="3" l="1"/>
  <c r="J4" i="3"/>
  <c r="M66" i="2"/>
  <c r="A219" i="1" l="1"/>
  <c r="A220" i="1" s="1"/>
  <c r="M25" i="2"/>
  <c r="F203" i="1" l="1"/>
  <c r="H199" i="1" l="1"/>
  <c r="G199" i="1"/>
  <c r="E199" i="1"/>
  <c r="H198" i="1"/>
  <c r="G198" i="1"/>
  <c r="E198" i="1"/>
  <c r="A164" i="1" l="1"/>
  <c r="F163" i="1" l="1"/>
  <c r="F161" i="1" l="1"/>
  <c r="A149" i="1" l="1"/>
  <c r="A150" i="1" s="1"/>
  <c r="M23" i="2"/>
  <c r="A135" i="1" l="1"/>
  <c r="M22" i="2"/>
  <c r="G127" i="1" l="1"/>
  <c r="F114" i="1" l="1"/>
  <c r="G114" i="1" s="1"/>
  <c r="O21" i="2" l="1"/>
  <c r="O24" i="2"/>
  <c r="O27" i="2"/>
  <c r="F104" i="1" l="1"/>
  <c r="A69" i="1" l="1"/>
  <c r="N20" i="2"/>
  <c r="I2" i="1" s="1"/>
  <c r="M20" i="2"/>
  <c r="M38" i="2" s="1"/>
  <c r="L4" i="2"/>
  <c r="M3" i="2" s="1"/>
  <c r="N3" i="2" l="1"/>
  <c r="L58" i="2"/>
  <c r="L57" i="2"/>
  <c r="L56" i="2"/>
  <c r="L55" i="2"/>
  <c r="L48" i="2"/>
  <c r="L52" i="2"/>
  <c r="L53" i="2"/>
  <c r="L49" i="2"/>
  <c r="L54" i="2"/>
  <c r="L51" i="2"/>
  <c r="L50" i="2"/>
  <c r="L26" i="2"/>
  <c r="L25" i="2"/>
  <c r="L23" i="2"/>
  <c r="L22" i="2"/>
  <c r="N38" i="2"/>
  <c r="L20" i="2"/>
  <c r="M2" i="2"/>
  <c r="I6" i="1" l="1"/>
  <c r="L66" i="2"/>
  <c r="N2" i="2"/>
  <c r="N4" i="2" s="1"/>
  <c r="K58" i="2"/>
  <c r="O58" i="2" s="1"/>
  <c r="K57" i="2"/>
  <c r="O57" i="2" s="1"/>
  <c r="K56" i="2"/>
  <c r="O56" i="2" s="1"/>
  <c r="K55" i="2"/>
  <c r="O55" i="2" s="1"/>
  <c r="K48" i="2"/>
  <c r="K52" i="2"/>
  <c r="O52" i="2" s="1"/>
  <c r="K50" i="2"/>
  <c r="O50" i="2" s="1"/>
  <c r="K49" i="2"/>
  <c r="O49" i="2" s="1"/>
  <c r="K54" i="2"/>
  <c r="O54" i="2" s="1"/>
  <c r="K51" i="2"/>
  <c r="O51" i="2" s="1"/>
  <c r="K53" i="2"/>
  <c r="O53" i="2" s="1"/>
  <c r="K26" i="2"/>
  <c r="O26" i="2" s="1"/>
  <c r="K25" i="2"/>
  <c r="O25" i="2" s="1"/>
  <c r="K23" i="2"/>
  <c r="O23" i="2" s="1"/>
  <c r="K22" i="2"/>
  <c r="O22" i="2" s="1"/>
  <c r="K20" i="2"/>
  <c r="L38" i="2"/>
  <c r="I4" i="1"/>
  <c r="K66" i="2" l="1"/>
  <c r="O48" i="2"/>
  <c r="O66" i="2" s="1"/>
  <c r="K38" i="2"/>
  <c r="O20" i="2"/>
  <c r="O38" i="2" s="1"/>
  <c r="A21" i="1"/>
  <c r="A22" i="1" s="1"/>
  <c r="A23" i="1" s="1"/>
  <c r="M4" i="1"/>
  <c r="N2" i="1" s="1"/>
  <c r="O2" i="1" s="1"/>
  <c r="N3" i="1" l="1"/>
  <c r="O3" i="1" s="1"/>
  <c r="O4" i="1" s="1"/>
  <c r="F15" i="1"/>
  <c r="F11" i="1" s="1"/>
  <c r="E15" i="1" l="1"/>
  <c r="G15" i="1"/>
  <c r="H15" i="1"/>
  <c r="E16" i="1"/>
  <c r="G16" i="1"/>
  <c r="H16" i="1"/>
  <c r="E17" i="1"/>
  <c r="G17" i="1"/>
  <c r="H17" i="1"/>
  <c r="M11" i="1" l="1"/>
  <c r="M12" i="1" l="1"/>
  <c r="I7" i="1" l="1"/>
  <c r="C4" i="2"/>
  <c r="D5" i="2"/>
  <c r="H16" i="2"/>
  <c r="H52" i="2"/>
  <c r="G52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5" i="1"/>
  <c r="H115" i="1"/>
  <c r="E116" i="1"/>
  <c r="H116" i="1"/>
  <c r="E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H152" i="1"/>
  <c r="E153" i="1"/>
  <c r="H153" i="1"/>
  <c r="E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H174" i="1"/>
  <c r="E175" i="1"/>
  <c r="G175" i="1"/>
  <c r="H175" i="1"/>
  <c r="E176" i="1"/>
  <c r="G176" i="1"/>
  <c r="H176" i="1"/>
  <c r="E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200" i="1"/>
  <c r="G200" i="1"/>
  <c r="H200" i="1"/>
  <c r="E201" i="1"/>
  <c r="G201" i="1"/>
  <c r="H201" i="1"/>
  <c r="E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H210" i="1"/>
  <c r="E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H221" i="1"/>
  <c r="E222" i="1"/>
  <c r="G222" i="1"/>
  <c r="H222" i="1"/>
  <c r="E223" i="1"/>
  <c r="H223" i="1"/>
  <c r="E224" i="1"/>
  <c r="H224" i="1"/>
  <c r="E225" i="1"/>
  <c r="G225" i="1"/>
  <c r="H225" i="1"/>
  <c r="E226" i="1"/>
  <c r="G226" i="1"/>
  <c r="H226" i="1"/>
  <c r="E227" i="1"/>
  <c r="G227" i="1"/>
  <c r="H227" i="1"/>
  <c r="E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18" i="1"/>
  <c r="G18" i="1"/>
  <c r="H18" i="1"/>
  <c r="E19" i="1"/>
  <c r="G19" i="1"/>
  <c r="H19" i="1"/>
  <c r="E20" i="1"/>
  <c r="G20" i="1"/>
  <c r="H20" i="1"/>
  <c r="E21" i="1"/>
  <c r="G21" i="1"/>
  <c r="H21" i="1"/>
  <c r="E22" i="1"/>
  <c r="G22" i="1"/>
  <c r="H22" i="1"/>
  <c r="E23" i="1"/>
  <c r="G23" i="1"/>
  <c r="H23" i="1"/>
  <c r="E24" i="1"/>
  <c r="H24" i="1"/>
  <c r="E25" i="1"/>
  <c r="G25" i="1"/>
  <c r="H25" i="1"/>
  <c r="E26" i="1"/>
  <c r="H26" i="1"/>
  <c r="E27" i="1"/>
  <c r="G27" i="1"/>
  <c r="H27" i="1"/>
  <c r="E28" i="1"/>
  <c r="H28" i="1"/>
  <c r="E29" i="1"/>
  <c r="H29" i="1"/>
  <c r="E30" i="1"/>
  <c r="G30" i="1"/>
  <c r="H30" i="1"/>
  <c r="E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H54" i="1"/>
  <c r="E55" i="1"/>
  <c r="G55" i="1"/>
  <c r="H55" i="1"/>
  <c r="E56" i="1"/>
  <c r="G56" i="1"/>
  <c r="H56" i="1"/>
  <c r="E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H71" i="1"/>
  <c r="E72" i="1"/>
  <c r="H72" i="1"/>
  <c r="E73" i="1"/>
  <c r="H73" i="1"/>
  <c r="E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14" i="1"/>
  <c r="G14" i="1"/>
  <c r="H14" i="1"/>
  <c r="L10" i="1"/>
  <c r="L12" i="1" s="1"/>
  <c r="H13" i="1"/>
  <c r="G13" i="1"/>
  <c r="E13" i="1"/>
  <c r="H53" i="2" l="1"/>
  <c r="E11" i="1"/>
  <c r="G11" i="1"/>
  <c r="G7" i="1" s="1"/>
  <c r="H11" i="1" l="1"/>
  <c r="J7" i="1" s="1"/>
</calcChain>
</file>

<file path=xl/sharedStrings.xml><?xml version="1.0" encoding="utf-8"?>
<sst xmlns="http://schemas.openxmlformats.org/spreadsheetml/2006/main" count="1341" uniqueCount="626">
  <si>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</si>
  <si>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</si>
  <si>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</si>
  <si>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</si>
  <si>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</si>
  <si>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</si>
  <si>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</si>
  <si>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</si>
  <si>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</si>
  <si>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</si>
  <si>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</si>
  <si>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</si>
  <si>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</si>
  <si>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</si>
  <si>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</si>
  <si>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</si>
  <si>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</si>
  <si>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</si>
  <si>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</si>
  <si>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</si>
  <si>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</si>
  <si>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</si>
  <si>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</si>
  <si>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</si>
  <si>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</si>
  <si>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</si>
  <si>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</si>
  <si>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</si>
  <si>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</si>
  <si>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</si>
  <si>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</si>
  <si>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</si>
  <si>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</si>
  <si>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</si>
  <si>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</si>
  <si>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</si>
  <si>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</si>
  <si>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</si>
  <si>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</si>
  <si>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</si>
  <si>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</si>
  <si>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</si>
  <si>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</si>
  <si>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</si>
  <si>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</si>
  <si>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</si>
  <si>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</si>
  <si>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DESIGN</t>
  </si>
  <si>
    <t>TOTAL</t>
  </si>
  <si>
    <t xml:space="preserve"> </t>
  </si>
  <si>
    <t>STATE RISK NUMBER</t>
  </si>
  <si>
    <t>RE's</t>
  </si>
  <si>
    <t>EST REV</t>
  </si>
  <si>
    <t>FY'18</t>
  </si>
  <si>
    <t>USU BIOLOGY AND NATURAL RESOURCES BLDG RENOVATION</t>
  </si>
  <si>
    <t>EDFY2019 / HEF USU</t>
  </si>
  <si>
    <t>05926</t>
  </si>
  <si>
    <t>13/18</t>
  </si>
  <si>
    <t>FEDERAL EXPRESS GOVT SALES GMA 18C4-146</t>
  </si>
  <si>
    <t>PG</t>
  </si>
  <si>
    <t>FY'19</t>
  </si>
  <si>
    <t>FUNDING</t>
  </si>
  <si>
    <t>CONTINGENCY</t>
  </si>
  <si>
    <t>STATE</t>
  </si>
  <si>
    <t>TOTALS</t>
  </si>
  <si>
    <t xml:space="preserve"> IET TRNSF FY'19 CAP DEV/ FUNDS FROM 19341300 </t>
  </si>
  <si>
    <t xml:space="preserve"> IET TRNSF BUDGETED CONTINGENCY TO 14317300 </t>
  </si>
  <si>
    <t xml:space="preserve"> IET TRNSF LEGAL BUDGET TO 12268300 </t>
  </si>
  <si>
    <t xml:space="preserve">IET USU ESTIMATED REVENUE </t>
  </si>
  <si>
    <t>JACOBSEN CONSTR - CMGC CONTRACT</t>
  </si>
  <si>
    <t>1975019</t>
  </si>
  <si>
    <t>USU</t>
  </si>
  <si>
    <t>CONSTR/HAZ MATERIALS</t>
  </si>
  <si>
    <t>FFE/INFO TECH/ARTS/MOVING</t>
  </si>
  <si>
    <t>INSPECTION/INSURANCE/DFCM MNGT</t>
  </si>
  <si>
    <t>USU CONTINGENCY/COMMISSIONING/OTHER</t>
  </si>
  <si>
    <t>AMA</t>
  </si>
  <si>
    <t>ITA 19*002 % OF ARTS</t>
  </si>
  <si>
    <t>UTAH NEW VISION CONST - COMISSIONING SERVICES CONTRACT</t>
  </si>
  <si>
    <t>1970049</t>
  </si>
  <si>
    <t>N/A</t>
  </si>
  <si>
    <t>SS</t>
  </si>
  <si>
    <t>RE 19C3-020                BILL $23,272.84</t>
  </si>
  <si>
    <t>VCBO ARCHITECTURE - CONTRACT</t>
  </si>
  <si>
    <t>1970093</t>
  </si>
  <si>
    <t>USU COMPTROLLER - AMA</t>
  </si>
  <si>
    <t>1975063</t>
  </si>
  <si>
    <t>CR 19M2-049            RE 19C3-020</t>
  </si>
  <si>
    <t>COLVIN ENG ASSOC - CONTRACT</t>
  </si>
  <si>
    <t>1970164</t>
  </si>
  <si>
    <t>CMT ENG LABS GAX 19C4-554</t>
  </si>
  <si>
    <t>COLVIN ENG ASSOC PRC 19C4-1126</t>
  </si>
  <si>
    <t>PRJ MGR FEES IDT 19C3-049</t>
  </si>
  <si>
    <t>RE 19C3-116                       BILL $5,201.08</t>
  </si>
  <si>
    <t>UTAH NEW VISION CONST - AMD 001</t>
  </si>
  <si>
    <t>UTAH NEW VISION CONST PRC 19C4-1632</t>
  </si>
  <si>
    <t>RE 19C3-150                         BILL $230.77</t>
  </si>
  <si>
    <t>COFC INSURANCE ITA 300-19*022</t>
  </si>
  <si>
    <t>VCBO ARCHITECTURE PRC 19C4-1746</t>
  </si>
  <si>
    <t>WC3 PRC 19C4-1767</t>
  </si>
  <si>
    <t>UTAH NEW VISION CONST - CONTRACT</t>
  </si>
  <si>
    <t>1970302</t>
  </si>
  <si>
    <t>CR 19M2-090                         RE 19C3-116</t>
  </si>
  <si>
    <t>UTAH NEW VISION CONST PRC 19C4-2094</t>
  </si>
  <si>
    <t>RE 19C3-189                            BILL $14,884.73</t>
  </si>
  <si>
    <t>VCBO ARCHITECTURE PRC 19C4-2086</t>
  </si>
  <si>
    <t>CR 19M5-003                  RE 19C3-150</t>
  </si>
  <si>
    <t>SUNRISE ENG - CONTRACT</t>
  </si>
  <si>
    <t>1970336</t>
  </si>
  <si>
    <t>RE 19C3-229                          BILL $11,305.83</t>
  </si>
  <si>
    <t>UTAH NEW VISION CONST PRC 19C4-2413</t>
  </si>
  <si>
    <t>COLVIN ENG ASSOC PRC 19C4-2422</t>
  </si>
  <si>
    <t>CMT ENG LABS GAX 19C4-1226</t>
  </si>
  <si>
    <t>VCBO ARCHITECTURE PRC 19C4-2478</t>
  </si>
  <si>
    <t>SUNRISE ENG PRC 19C4-2547</t>
  </si>
  <si>
    <t>WC3 PRC 19C4-2487</t>
  </si>
  <si>
    <t>RMEC ENVIRON - CONTRACT</t>
  </si>
  <si>
    <t>1970369</t>
  </si>
  <si>
    <t>CR 19M5-012                 RE 19C3-189</t>
  </si>
  <si>
    <t>CO</t>
  </si>
  <si>
    <t>RE 19C3-259                           BILL $33,466.45</t>
  </si>
  <si>
    <t>COLVIN ENG ASSOC PRC 19C4-2761</t>
  </si>
  <si>
    <t>VCBO ARCHITECTURE PRC 19C3-006</t>
  </si>
  <si>
    <t>SUNRISE ENG PRC 19C4-2836</t>
  </si>
  <si>
    <t>ZIONS/JACOBSEN CONST RTNG 19C5-040</t>
  </si>
  <si>
    <t>JACOBSEN CONST PRC 19C5-041</t>
  </si>
  <si>
    <t>ZIONS/JACOBSEN CONST RTNG PRC 19C5-042</t>
  </si>
  <si>
    <t>JACOBSEN CONST PRC 19C5-043</t>
  </si>
  <si>
    <t>USU CONTROLLERS OFFICE PRC 19C5-093</t>
  </si>
  <si>
    <t>RE 19C3-291                 BILL $95,496.54</t>
  </si>
  <si>
    <t>JACOBSEN CONSTR - CO 001 BID PKG</t>
  </si>
  <si>
    <t>RESERVES CHECKED TO THIS POINT</t>
  </si>
  <si>
    <t>CO 002</t>
  </si>
  <si>
    <t>100% USU</t>
  </si>
  <si>
    <t>PROJECT</t>
  </si>
  <si>
    <t>IET TRNSF FUNDS FROM CONTG RESERVE 14317300 FOR STATE'S SHARE OF CO 002</t>
  </si>
  <si>
    <t>CO 002 SHARE</t>
  </si>
  <si>
    <t>ENVIRON ABATEMENT GAX 19C7-001</t>
  </si>
  <si>
    <t>EAGLE ENVIRON - CONTRACT</t>
  </si>
  <si>
    <t>1975351</t>
  </si>
  <si>
    <t>JACOBSEN CONST - CO 002</t>
  </si>
  <si>
    <t>VCBO ARCHITECTURE PRC 19C5-208</t>
  </si>
  <si>
    <t>SUNRISE ENG PRC 19C5-310</t>
  </si>
  <si>
    <t>RMEC ENVIRON PRC 19C5-312</t>
  </si>
  <si>
    <t>RMEC ENVIRON PRC 19C5-313</t>
  </si>
  <si>
    <t>CR 19M2-124                           RE 19C3-259</t>
  </si>
  <si>
    <t>CR 19M2-127                       RE 19C3-229</t>
  </si>
  <si>
    <t>WC3 PRC 19C5-365</t>
  </si>
  <si>
    <t xml:space="preserve">USU COMPTROLLER - CO 001  COMMISSIONING </t>
  </si>
  <si>
    <t>UTAH NEW VISION CONST PRC 19C5-405</t>
  </si>
  <si>
    <t>UTAH NEW VISION CONST PRC 19C5-416</t>
  </si>
  <si>
    <t>RE 19C3-319                        BILL $64,407.71</t>
  </si>
  <si>
    <t>VCBO ARCHITECTURE PRC 19C5-634</t>
  </si>
  <si>
    <t>SUNRISE ENG PRC 19C5-639</t>
  </si>
  <si>
    <t>USU CONTROLLERS OFFICE PRC 19C5-662</t>
  </si>
  <si>
    <t>VCBO ARCHITECTURE PRC 19C5-704</t>
  </si>
  <si>
    <t>COFC INSURANCE ITA 300 19*53</t>
  </si>
  <si>
    <t>WC3 PRC 19C5-599</t>
  </si>
  <si>
    <t>13/19</t>
  </si>
  <si>
    <t>UTAH NEW VISION CONST PRC 19C2-007</t>
  </si>
  <si>
    <t>UTAH NEW VISION CONST PRC 19C2-010</t>
  </si>
  <si>
    <t>USU CONTROLLERS OFFICE PRC 19C5-825</t>
  </si>
  <si>
    <t>RE 19C3-378                         BILL $1,340.77</t>
  </si>
  <si>
    <t>ZIONS/JACOBSEN CONST RTNG PRC 19C5-942</t>
  </si>
  <si>
    <t>JACOBSEN CONST PRC 19C5-943</t>
  </si>
  <si>
    <t>ZIONS/JACOBSEN CONST RTNG PRC 19C5-944</t>
  </si>
  <si>
    <t>JACOBSEN CONST PRC 19C5-945</t>
  </si>
  <si>
    <t>ZIONS/JACOBSEN CONST RTNG PRC 19C5-946</t>
  </si>
  <si>
    <t>JACOBSEN CONST PRC 19C5-947</t>
  </si>
  <si>
    <t>USU COMPTROLLER - CO 002</t>
  </si>
  <si>
    <t>SUNRISE ENG PRC 19C5-1070</t>
  </si>
  <si>
    <t>USU CONTROLLERS OFFICE PRC 19C5-1146</t>
  </si>
  <si>
    <t>WC3 GAX 19C5-047</t>
  </si>
  <si>
    <t>RE 19C3-411                         BILL $171,072.23</t>
  </si>
  <si>
    <t>MOVE TO CONSTR BUDGET</t>
  </si>
  <si>
    <t>CR 19M2-141                     RE 19C3-291</t>
  </si>
  <si>
    <t>CR 19M2-141                      RE 19C3-319</t>
  </si>
  <si>
    <t>RE 19C3-450                  BILL $10,065.49</t>
  </si>
  <si>
    <t>FY'20</t>
  </si>
  <si>
    <t>VCBO ARCHITECTURE GAX 20C5-154</t>
  </si>
  <si>
    <t>UTAH NEW VISION CONST GAX 20C5-165</t>
  </si>
  <si>
    <t>UTAH NEW VISION CONST GAX 20C5-166</t>
  </si>
  <si>
    <t>1970127</t>
  </si>
  <si>
    <t>UTAH NEW VISION CONST GAX 20C5-167</t>
  </si>
  <si>
    <t>USU CONTROLLERS OFFICE GAX 20C9-76</t>
  </si>
  <si>
    <t>SUNRISE ENGINEERING GAX 20C4-21</t>
  </si>
  <si>
    <t>CR 20M2-007                  RE 19C3-378</t>
  </si>
  <si>
    <t>CR 20M2-013                   RE 19C3-411</t>
  </si>
  <si>
    <t>CR 20M2-018                   RE 19C3-450</t>
  </si>
  <si>
    <t>VALENTINER CRANE BRUNJES ONYON ARCH GAX 20C5-403</t>
  </si>
  <si>
    <t>UTAH NEW VISION CONST GAX 20C5-488</t>
  </si>
  <si>
    <t>WEST COAST CODE CONSULT GAX 20C5-537</t>
  </si>
  <si>
    <t>RE 20C3                  BILL $9229.57</t>
  </si>
  <si>
    <t>ZIONS/JACOBSEN CONST RTNG GAX 20C5-72</t>
  </si>
  <si>
    <t>JACOBSEN CONST GAX 20C5-573</t>
  </si>
  <si>
    <t>JACOBSEN CONSTRUCTION CO GAX 205-590</t>
  </si>
  <si>
    <t>CO 003</t>
  </si>
  <si>
    <t>JACOBSEN CONST CO 003</t>
  </si>
  <si>
    <t>UTAH NEW VISION CONST GAX 20C5-730</t>
  </si>
  <si>
    <t>R&amp;R ENVIRONMENTAL GAX 20C5-751</t>
  </si>
  <si>
    <t>DF</t>
  </si>
  <si>
    <t>WEST COAST CODE CONSULT GAX 20C5-195</t>
  </si>
  <si>
    <t>JACOBSEN CONST GAX 20C5*591</t>
  </si>
  <si>
    <t>RE 20C3- 72                        BILL $202,246.44</t>
  </si>
  <si>
    <t>VALENTINER CRANE BRUNJES ONYON ARCHI GAX 20C5-1082</t>
  </si>
  <si>
    <t>SUNRISE ENG GAX 20C5-1086</t>
  </si>
  <si>
    <t>SUNRISE ENG GAX 20C5-1133</t>
  </si>
  <si>
    <t>CO 004</t>
  </si>
  <si>
    <t>COLVIN ENG ASSOC GAX F19*233</t>
  </si>
  <si>
    <t>JACOBSEN CONST CO 004</t>
  </si>
  <si>
    <t>ZIONS/JACOBEN CONST RTNG GAX 20C5*1208</t>
  </si>
  <si>
    <t>JACOBSEN CONST GAX 20C5*1209</t>
  </si>
  <si>
    <t>CR 20M2-045                RE 20C3-026</t>
  </si>
  <si>
    <t>UTAH NEW VISION GAX 20C7*058</t>
  </si>
  <si>
    <t>SUNRISE ENG GAX 20C8*070</t>
  </si>
  <si>
    <t>WC3 CONSULTS GAX 20C5*1441</t>
  </si>
  <si>
    <t>VCBO GAX 20C7*74</t>
  </si>
  <si>
    <t>ZIONS/JACOBSEN CONST RTNG GAX 20C5*1485</t>
  </si>
  <si>
    <t>JACOBSEN CONST GAX 20C5*1486</t>
  </si>
  <si>
    <t>CR 20M2-060             RE 20C3-072</t>
  </si>
  <si>
    <t>RE 20C3*118                      BILL $419,096.72</t>
  </si>
  <si>
    <t>co 005</t>
  </si>
  <si>
    <t>CO 006</t>
  </si>
  <si>
    <t>IET TRNSF FUNDS FROM CONTG RESERVE 14317300 FOR STATE'S SHARE OF CO 005</t>
  </si>
  <si>
    <t>IET INCREASE USU CONTINGENCY FOR CHANGE ORDERS OVER BUDGET, #5, 6</t>
  </si>
  <si>
    <t>EAGLE ENVIRONMENTAL GAX 20C5*1558</t>
  </si>
  <si>
    <t>19046770</t>
  </si>
  <si>
    <t>JACOBSEN CONSTRUCTION      CO 005</t>
  </si>
  <si>
    <t>JACOBSEN CONSTRUCTION      CO 006</t>
  </si>
  <si>
    <t>ZIONS/JACOBSEN CONST RTNG GAX 20C5*1591</t>
  </si>
  <si>
    <t>JACOBSEN CONST GAX 20C5*1592</t>
  </si>
  <si>
    <t>USU CONTROLLERS GAX 20C5*1607</t>
  </si>
  <si>
    <t>UTAH NEW VISION CONST GAX 20C5*1627</t>
  </si>
  <si>
    <t>VCBO ARCHITECTS GAX 20C7*269</t>
  </si>
  <si>
    <t>SUNRISE ENGINEERING GAX 20C5*1676</t>
  </si>
  <si>
    <t>ZIONS/EAGLE ENVIRON RTNG GAX 20C5*1557</t>
  </si>
  <si>
    <t>WC3 GAX 20C5*1521</t>
  </si>
  <si>
    <t>RE 20C3*157                     BILL $253,013.90</t>
  </si>
  <si>
    <t>WC3 GAX 20C5*1836</t>
  </si>
  <si>
    <t>IET TRNSF FUNDS FROM CONTG RESERVE 14317300 EAGLE ENVIRON CO 001 HAZ MAT</t>
  </si>
  <si>
    <t>EAGLE ENVIRONMENTAL INC               CO 001</t>
  </si>
  <si>
    <t>VCBO ARCHITECTURE GAX 20C5*1862</t>
  </si>
  <si>
    <t>SUNRISE ENGINEERING GAX 20C5*1864</t>
  </si>
  <si>
    <t>ZIONS/JACOBSEN CONST RTNG GAX 20C7*444</t>
  </si>
  <si>
    <t>JACOBSEN CONSTRUCTION GAX 20C7*463</t>
  </si>
  <si>
    <t>ZIONS/EAGLE ENVIRO RTNG GAX 20C7*412</t>
  </si>
  <si>
    <t>EAGLE ENVIRONMENTAL GAX 20C7*413</t>
  </si>
  <si>
    <t>CR  20M2-078                       RE 20C3-118</t>
  </si>
  <si>
    <t>IET TRNSF FUNDS FROM CONTG RESERVE 14317300 EAGLE ENVIRON CO 002 HAZ MAT</t>
  </si>
  <si>
    <t>EAGLE ENVIRONMENTAL             CO 002</t>
  </si>
  <si>
    <t>RE 20C3*198                     BILL $164,395.89</t>
  </si>
  <si>
    <t>VCBO ARCHITECTURE GAX 20X5*2053</t>
  </si>
  <si>
    <t>19046</t>
  </si>
  <si>
    <t>SUNRISE ENGINEERING GAX 20C5*2061</t>
  </si>
  <si>
    <t>ZIONS/JACOBSEN CONST CO GAX 20C7*617</t>
  </si>
  <si>
    <t>JACOBSEN CONST CO GAX 20C7*618</t>
  </si>
  <si>
    <t>EAGLE ENVIRONMENTAL GAX 20C8*296</t>
  </si>
  <si>
    <t>ZIONS/EAGLE ENVIR RTNG GAX 20C8*297</t>
  </si>
  <si>
    <t>CR 20M2-088                  RE 20C3-157</t>
  </si>
  <si>
    <t>RE 20C3*231                   BILL $184,727.69</t>
  </si>
  <si>
    <t>VCBO ARCHITECTURE GAX 20C8*368</t>
  </si>
  <si>
    <t>USU CONTROLLERS OFFICE GAX 20C8*343</t>
  </si>
  <si>
    <t>UTAH NEW VISION CONST GAX 20C8*346</t>
  </si>
  <si>
    <t>UTAH NEW VISION CONST GAX 20C8*347</t>
  </si>
  <si>
    <t>JACOBSEN CONSTRUCTION CO GAX 20C8*383</t>
  </si>
  <si>
    <t>ZIONS/JACOBSEN CONSTRUCTION RTNG GAX 20C8*384</t>
  </si>
  <si>
    <t>SUNRISE ENGINEERING GAX 20C5*2228</t>
  </si>
  <si>
    <t>CR 20M2-103                  RE 20C3-198</t>
  </si>
  <si>
    <t>RMEC ENVIRONMENTAL INC GAX 20C5*2404</t>
  </si>
  <si>
    <t>WC3 GAX 20C5*2465</t>
  </si>
  <si>
    <t>RE 20C3*261                  BILL $195,182.85</t>
  </si>
  <si>
    <t>SUNRISE ENGINEERING GAX 20C5*2592</t>
  </si>
  <si>
    <t>UTAH NEW VISION CONST GAX 20C5*2618</t>
  </si>
  <si>
    <t>VCBO ARCHITECTURE GAX 20C8*484</t>
  </si>
  <si>
    <t>UTAH NEW VISION CONST PRC 19C2-007 (WRONG PRJ 17240)</t>
  </si>
  <si>
    <t>UTAH NEW VISION CONST GAX 20C5-167 (WRONG PRJ 17240)</t>
  </si>
  <si>
    <t>VCBO ARCHITECTURE GAX 20C5*2833</t>
  </si>
  <si>
    <t>CR 20M2-109                        RE 20C3-231</t>
  </si>
  <si>
    <t>WC3 GAX 20C5*975</t>
  </si>
  <si>
    <t>RE 20C3*301         BILL $4,231.68</t>
  </si>
  <si>
    <t>SUNRISE ENGINEERING GAX 20C5*3072</t>
  </si>
  <si>
    <t>ZIONS/JACOBSEN CONST CO RTNG GAX 20C7*885</t>
  </si>
  <si>
    <t>JACOBSEN CONSTRUCTION GAX 20C7*886</t>
  </si>
  <si>
    <t>ZIONS/JACOBSEN CONST CO RTNG GAX 20C7*887</t>
  </si>
  <si>
    <t>JACOBSEN CONSTRUCTION GAX 20C7*888</t>
  </si>
  <si>
    <t>CR 20M2-117            RE 20C3-261</t>
  </si>
  <si>
    <t>RE 20C3*339       BILL $326,593.39</t>
  </si>
  <si>
    <t>UTAH NEW VISION GAX 20C5*3458</t>
  </si>
  <si>
    <t>ZIONS/JACOBSEN CONST RTNG GAX 20C5*3504</t>
  </si>
  <si>
    <t>JACOBSEN CONST GAX 20C5*3505</t>
  </si>
  <si>
    <t>CR 20M2-122                  RE 20C3-301</t>
  </si>
  <si>
    <t>SUNRISE ENGINEERING GAX 20C5*3575</t>
  </si>
  <si>
    <t>VCBO ARCHITECTURE GAX 20C5*3625</t>
  </si>
  <si>
    <t>USU CONTROLLERS OFFICE GAX 20C5*3626</t>
  </si>
  <si>
    <t>R&amp;R ENVIRONMENTAL GAX 20C5*3639</t>
  </si>
  <si>
    <t>CO 007</t>
  </si>
  <si>
    <t>IET TRNSF FUNDS FROM CONTG RESERVE 14317300 FOR CO 007</t>
  </si>
  <si>
    <t>COMM BALANCE $45,400, O THER BALANCE $3,252</t>
  </si>
  <si>
    <t>IET INCREASE USU CONTINGENCY FOR CHANGE ORDERS OVER BUDGET, #7</t>
  </si>
  <si>
    <t>CURRENT USU FUNDS AS OF 6/30</t>
  </si>
  <si>
    <t>JACOBSEN CONSTRUCTION            CO 007</t>
  </si>
  <si>
    <t>UTAH NEW VISION CONST GAX 20C8*618</t>
  </si>
  <si>
    <t>13/20</t>
  </si>
  <si>
    <t>VCBO ARCHITETURE LLC           AMD 001</t>
  </si>
  <si>
    <t>RE 20C3*383     BILL $103,420.11</t>
  </si>
  <si>
    <t>CO 008</t>
  </si>
  <si>
    <t>13-20</t>
  </si>
  <si>
    <t>IET TRNSF FUNDS FROM CONTG RESERVE 14317300 FOR CO 008</t>
  </si>
  <si>
    <t>CR 20M2-126                      RE 20C3-339</t>
  </si>
  <si>
    <t>SUNRISE ENGINEERING GAX 20C8*736</t>
  </si>
  <si>
    <t>JACOBSEN CONSTRUCTION       CO 008</t>
  </si>
  <si>
    <t>UTAH STATE UNIV GAX 20C7*1109</t>
  </si>
  <si>
    <t>ZIONS/JACOBSEN CONST RTNG GAX 20C5*3957</t>
  </si>
  <si>
    <t>JACOBSEN CONSTRUCTION GAX 20C5*3958</t>
  </si>
  <si>
    <t>CHANGE ORDER</t>
  </si>
  <si>
    <t>DW</t>
  </si>
  <si>
    <t>CO #2, PCO #003 - RFI #003, Missing Walls</t>
  </si>
  <si>
    <t>CO #2, PCO #004 - RFI #008, Masonry Repair</t>
  </si>
  <si>
    <t>CO #2, PCO #005 - PR #002, Reduce Steam Pipe Size</t>
  </si>
  <si>
    <t>CO #2, PCO #006 - PR #003, Add Cast Iron Waste Lines</t>
  </si>
  <si>
    <t>CO #3, PCO #009 - PR #005, Salvage Casework</t>
  </si>
  <si>
    <t>CO #3, PCO #010 - PR #006, Store Aurora Base System</t>
  </si>
  <si>
    <t>CO #3, PCO #012 - PR #007, Frit Credit</t>
  </si>
  <si>
    <t>CO #3, PCO #013 - PR #008, Enlarge Mech Room</t>
  </si>
  <si>
    <t>CO #3, PCO #015 - PR #004, Electrical Scope</t>
  </si>
  <si>
    <t>CO #3, PCO #016 - RFI #021, Fire Riser Test Drains</t>
  </si>
  <si>
    <t>CO #3, PCO #017 - Heat Exchanger VE Rejected</t>
  </si>
  <si>
    <t>CO #3, PCO #019 - RFI #025, Fire Annunciator</t>
  </si>
  <si>
    <t>CO #3, PCO #020 - RFI #015R1, Added Electrical Scope</t>
  </si>
  <si>
    <t>CO #3, PCO #021 - Curtain Wall Demo Credit</t>
  </si>
  <si>
    <t>CO #3, PCO #023 - RFI #031, Added C Channel</t>
  </si>
  <si>
    <t>CO #3, PCO #024 - Water for 201 &amp; 210</t>
  </si>
  <si>
    <t>CO #4, PCO #014 - PR #009, Additional Utilities</t>
  </si>
  <si>
    <t>CO #4, PCO #026 - PR #012, Carpet Changes</t>
  </si>
  <si>
    <t>CO #4, PCO #028 - RFI #043, Stud and BRB Conflict</t>
  </si>
  <si>
    <t>CO #4, PCO #031 - PR #015, Water Header</t>
  </si>
  <si>
    <t>CO #4, PCO #032 - RFI #062, Seismic Upgrades</t>
  </si>
  <si>
    <t>CO #4, PCO #033 - Add Tube Steel for Curtain Wall</t>
  </si>
  <si>
    <t>CO #4, PCO #035 - PR #018, Ice Maker Plumbing</t>
  </si>
  <si>
    <t>CO #4, PCO #036 - PR #019, Acid Waste Piping</t>
  </si>
  <si>
    <t>CO #5, PCO #018 - PR #10, Area Way</t>
  </si>
  <si>
    <t>CO #5, PCO #025 - Paper Birch Bushes</t>
  </si>
  <si>
    <t>CO #5, PCO #030 - Firt Revisions</t>
  </si>
  <si>
    <t>CO #5, PCO #034 - Electrical Credits</t>
  </si>
  <si>
    <t>CO #5, PCO #037 - Exhaust Duct &amp; Power</t>
  </si>
  <si>
    <t>CO #5, PCO #038 - Basement Housekeeping Pads</t>
  </si>
  <si>
    <t>CO #5, PCO #039 - Field Steel Conditions</t>
  </si>
  <si>
    <t>CO #5, PCO #040 - Exhuast Fan Power</t>
  </si>
  <si>
    <t>CO #5, PCO #041 - Basement Telecom Pathways</t>
  </si>
  <si>
    <t>CO #5, PCO #042 - Slab Openings</t>
  </si>
  <si>
    <t>CO #5, PCO #043 - Electrical Questions</t>
  </si>
  <si>
    <t>CO #5, PCO #044 - Concrete Header</t>
  </si>
  <si>
    <t>CO #5, PCO #045 - Fire Separation Wall</t>
  </si>
  <si>
    <t>CO #5, PCO #046 - Wall Furring &amp; Tile Elevator Shaft</t>
  </si>
  <si>
    <t>CO #5, PCO #048 - Float Walls in Basement</t>
  </si>
  <si>
    <t>CO #5, PCO #052 - Add Vaccum Breakers</t>
  </si>
  <si>
    <t>CO #5, PCO #053 - Structural Existing Conditions</t>
  </si>
  <si>
    <t>CO #5, PCO #056 - Controls, Glycol, Etc.</t>
  </si>
  <si>
    <t>CO #5, PCO #057 - Roof Drains &amp; Waste Piping</t>
  </si>
  <si>
    <t>CO #5, PCO #059 - Existing Roof Drains</t>
  </si>
  <si>
    <t>CO #5, PCO #049 - SDI &amp; GLI Decuct</t>
  </si>
  <si>
    <t>CO #6, PCO #050 - Lead Testing &amp; Removal</t>
  </si>
  <si>
    <t>CO #6, PCO #054 - Add Steam to temp Cadaver Lab</t>
  </si>
  <si>
    <t>CO #7, PCO #047 - Galvanize Saddles</t>
  </si>
  <si>
    <t>CO #7, PCO #062 - RFI #79, Abatement Wall Damage</t>
  </si>
  <si>
    <t>CO #7, PCO #064 - Owner Carpet Change</t>
  </si>
  <si>
    <t>CO #7, PCO #065 - PR #31, Flexible Flashing</t>
  </si>
  <si>
    <t>CO #7, PCO #067 - PR #30, Owner Tile Change</t>
  </si>
  <si>
    <t>CO #7, PCO #068 - Future Expansion Duct</t>
  </si>
  <si>
    <t>CO #7, PCO #069 - ASI #15R, Cadaver Lab Changes</t>
  </si>
  <si>
    <t>CO #7, PCO #070 - PR #29, Arc Flash Study Changes</t>
  </si>
  <si>
    <t>CO #7, PCO #071 - Abatement Curtain Wall Repairs</t>
  </si>
  <si>
    <t>CO #7, PCO #072 - Add Conference Room Poke Thru's</t>
  </si>
  <si>
    <t>CO #7, PCO #073 - ASI #14R1, Additional Piping</t>
  </si>
  <si>
    <t>CO #7, PCO #078 - RFI #137, Roof Drain Relocation</t>
  </si>
  <si>
    <t>CO #7, PCO #080 - Epoxy Flooring</t>
  </si>
  <si>
    <t>CO #7, PCO #082 - Elevator Plumb Issues</t>
  </si>
  <si>
    <t>CO #7, PCO #083 - Elevator Plumb Issues</t>
  </si>
  <si>
    <t>CO #7, PCO #084 - RFI #128, 200N AE Error</t>
  </si>
  <si>
    <t>CO #7, PCO #085 - ASI #19, Thermostats</t>
  </si>
  <si>
    <t>CO #7, Shared Savings #1</t>
  </si>
  <si>
    <t>CO #8, PCO #074 - RFI #129, Office Changes</t>
  </si>
  <si>
    <t>CO #8, PCO #081 - RFI #136, Water Flow Alarm</t>
  </si>
  <si>
    <t>CO #8, PCO #086 - PR #39, Cable Tray</t>
  </si>
  <si>
    <t>CO #8, PCO #088 - Existing Epoxy Flooring Prep</t>
  </si>
  <si>
    <t>CO #8, PCO #089 - PR #40, Roller Shades</t>
  </si>
  <si>
    <t>CO #8, PCO #090 - PR #41, Corridor Flooring</t>
  </si>
  <si>
    <t>CO #8, PCO #091 - RFI #150, Insect Lab Data</t>
  </si>
  <si>
    <t>CO #8, PCO #092 - Abatement Damage</t>
  </si>
  <si>
    <t>CO #8, PCO #094 - Conference Room Counter Change</t>
  </si>
  <si>
    <t>CO #8, PCO #095 - PR #42, Vivarium Valves</t>
  </si>
  <si>
    <t>CO #8, PCO #097 - RFI #143, Mech Tunnel Grating</t>
  </si>
  <si>
    <t>CO #8, PCO #099 - Courtyard Demo</t>
  </si>
  <si>
    <t>CO #8, PCO #100 - RFI #142, Stair Electrical</t>
  </si>
  <si>
    <t>CO #8, PCO #101 - Storm Drain Sump</t>
  </si>
  <si>
    <t>CO #8, PCO #102 - RFI #149, Generator Exhuast Stack</t>
  </si>
  <si>
    <t>CO #8, PCO #103 - Shared Savings</t>
  </si>
  <si>
    <t>CO #8, PCO #104 - RFI #159, Concrete Wall Changes</t>
  </si>
  <si>
    <t>CO #8, PCO #106 - RFI #166, Irrigation Filter</t>
  </si>
  <si>
    <t>CO #8, PCO #109 - Brick Wash</t>
  </si>
  <si>
    <t>CO #8, PCO #111 - PR #47, BRB Countertops</t>
  </si>
  <si>
    <t>CO #8, PCO #112 - PR #44, Room 101 Changes</t>
  </si>
  <si>
    <t>SAME AS LUCAS</t>
  </si>
  <si>
    <t xml:space="preserve">LUCAS REVISIONS TO FUNDING  OF CHANGEORDERS </t>
  </si>
  <si>
    <t>NO CHANGES</t>
  </si>
  <si>
    <t>CHANGES IN GREEN</t>
  </si>
  <si>
    <t>IN FY'21 REVISED THE CHANGE ORDER FUNDING BY:</t>
  </si>
  <si>
    <t>DECREASE USU CONTG TOTAL  BY $280,319.13</t>
  </si>
  <si>
    <t>RE 20C3*428  BILL $102,689.86</t>
  </si>
  <si>
    <t>FY'21</t>
  </si>
  <si>
    <t>EAGLE ENVIRONMENTAL GAX 21C5*072</t>
  </si>
  <si>
    <t>SUNRISE ENGINEERING GAX 21C7*013</t>
  </si>
  <si>
    <t>ZIONS/JACOBSEN CONST RTNG GAX 21C5*268</t>
  </si>
  <si>
    <t>JACOBSEN CONSTRUCTION GAX 21C5*269</t>
  </si>
  <si>
    <t>UTAH NEW VISION CONST GAX 21C7*032</t>
  </si>
  <si>
    <t>CO 009</t>
  </si>
  <si>
    <t xml:space="preserve">FUNDING SOURCES REVISED BELOW </t>
  </si>
  <si>
    <t>IET TRNSF FUNDS FROM CONTG RESERVE 14317300 FOR CO 009, AND REVISED FUNDING SHARE FOR CO 001 - 008</t>
  </si>
  <si>
    <t>INCREASE STATE CONTG TOTAL BY $280,319.13</t>
  </si>
  <si>
    <t>JACOBSEN CONSTRUCTION      CO 009</t>
  </si>
  <si>
    <t>RMEC ENVIRONMENTAL INC - AMD 001</t>
  </si>
  <si>
    <t>CR 21M2-014                          RE 20C3-428</t>
  </si>
  <si>
    <t>USU CONTROLLERS OFFICE GAX 21C5*357</t>
  </si>
  <si>
    <t>JACOBSEN CONST CO GAX 21C8*049</t>
  </si>
  <si>
    <t>ZIONS/JACOBSEN CONST RTNG GAX 21C8*050</t>
  </si>
  <si>
    <t>RE 21C3*018     BILL $94,989.44</t>
  </si>
  <si>
    <t>SUNRISE ENGINEERING GAX 21C5*469</t>
  </si>
  <si>
    <t>RE 21C3*52      BILL $65,363.51</t>
  </si>
  <si>
    <t>CO 010</t>
  </si>
  <si>
    <t xml:space="preserve">PAID FROM AMA BALANCE, PROJECT </t>
  </si>
  <si>
    <t>IET TRNSF FUNDS FROM CONTG RESERVE 14317300 FOR CO 010SHARE</t>
  </si>
  <si>
    <t>AMA, AMA CO 002, 010</t>
  </si>
  <si>
    <t>JACOBSEN CONSTRUCTION         CO 010</t>
  </si>
  <si>
    <t>USU CONTROLLERS GAX 21C7*305</t>
  </si>
  <si>
    <t>ZIONS/JACOBSEN CONST RTNG GAX 21C7*306</t>
  </si>
  <si>
    <t>JACOBSEN CONSTRUCTION GAX 21C7*307</t>
  </si>
  <si>
    <t>USU COMPTROLLER      CO 003</t>
  </si>
  <si>
    <t>SUNRISE ENG GAX 21C7*406</t>
  </si>
  <si>
    <t>JACOBSEN CONST CO    GAX 21C7*493</t>
  </si>
  <si>
    <t>RE 21C3*86             BILL $67,943.22</t>
  </si>
  <si>
    <t>VCBO ARCHITECTURE GAX 21C5*868</t>
  </si>
  <si>
    <t>CR 21M2*043     RE 21C3*052</t>
  </si>
  <si>
    <t>CR 21M2*035     RE 21C3*018</t>
  </si>
  <si>
    <t>RE 21C3*118     BILL $9,203.18</t>
  </si>
  <si>
    <t>JACOBSEN CONST GAX 21C8*240</t>
  </si>
  <si>
    <t>ZIONS/JACOBSEN CONST RTNG GAX 21C8*241</t>
  </si>
  <si>
    <t>USU GAX 21C7*730</t>
  </si>
  <si>
    <t>CO 011</t>
  </si>
  <si>
    <t>IET TRNSF FUNDS FROM CONTG RESERVE 14317300 FOR CO 011 SHARE</t>
  </si>
  <si>
    <t>JACOBSEN CONST    CO 011</t>
  </si>
  <si>
    <t>VCBO ARCHITECTURE GAX 21C5*1165</t>
  </si>
  <si>
    <t>CR 21M2*051     RE 213*086</t>
  </si>
  <si>
    <t>ZIONS/JACONSEN CONST RTNG GAX 21C7*804</t>
  </si>
  <si>
    <t>JACOBSEN CONST GAX 21C7*805</t>
  </si>
  <si>
    <t>RE 21C3*151     BILL $36,224.13</t>
  </si>
  <si>
    <t>SUNRISE ENG GAX 21C5*1329</t>
  </si>
  <si>
    <t>SUNRISE ENG       AMD 001</t>
  </si>
  <si>
    <t>VCBO GAX 21C8*376</t>
  </si>
  <si>
    <t>CO 012</t>
  </si>
  <si>
    <t>CO 013</t>
  </si>
  <si>
    <t>IET TRNSF FUNDS FROM CONTG RESERVE 14317300 FOR CO 012 SHARE</t>
  </si>
  <si>
    <t>JACOBSEN CONST               CO 012</t>
  </si>
  <si>
    <t>JACOBSEN CONST               CO 013</t>
  </si>
  <si>
    <t>CR 21M2*060     RE 21C3*118</t>
  </si>
  <si>
    <t>RE 21C3*189     BILL $188.88</t>
  </si>
  <si>
    <t>ZIONS/JACOBSEN CONST RTNG GAX 21C5*1535</t>
  </si>
  <si>
    <t>JACOBSEN CONST GAX 21C5*1536</t>
  </si>
  <si>
    <t>USU CONTROLLERS OFFC GAX 21C5*1577</t>
  </si>
  <si>
    <t xml:space="preserve">CR 21M2*067 RE 21C3*151 </t>
  </si>
  <si>
    <t>RE 21C3*227     BILL $99,037.81</t>
  </si>
  <si>
    <t>USU CONTROLLERS OFFC GAX 21C5*1749</t>
  </si>
  <si>
    <t>CR 21M5*003     RE 21C3*189</t>
  </si>
  <si>
    <t>RE 21C3*263     BILL $43,492.63</t>
  </si>
  <si>
    <t>ZIONS/JACOBSEN CONST RTNG GAX 21C5*1969</t>
  </si>
  <si>
    <t>JACOBSEN CONST GAX 21C5*1970</t>
  </si>
  <si>
    <t>JACOBSEN CONST     CO 014</t>
  </si>
  <si>
    <t>CR 21M2*076     RE 21C3*227</t>
  </si>
  <si>
    <t>RE 21C3*297     BILL $3,512.50</t>
  </si>
  <si>
    <t>CR 21M2*085     RE 21C3*263</t>
  </si>
  <si>
    <t>JACOBSEN CONST GAX 21C5*2251</t>
  </si>
  <si>
    <t>USU CONTROLLERS OFFC GAX 21C7*1551</t>
  </si>
  <si>
    <t>ZIONS/JACOBSEN CONST RTNG GAX 21C7*1632</t>
  </si>
  <si>
    <t>JACOBSEN CONST GAX 21C7*1633</t>
  </si>
  <si>
    <t>RE 21C3*329     BILL $18,803.63</t>
  </si>
  <si>
    <t>USU CONTROLLERS OFFC GAX 21C7*1700</t>
  </si>
  <si>
    <t>NP</t>
  </si>
  <si>
    <t>CR 21M2*095     RE 21C3*297</t>
  </si>
  <si>
    <t>CR 21M2*097     RE 21C3*329</t>
  </si>
  <si>
    <t>13/21</t>
  </si>
  <si>
    <t>RE 21C3*386     BILL $7,240.76</t>
  </si>
  <si>
    <t>USU CONTROLLERS OFFC GAX 21C5*2501</t>
  </si>
  <si>
    <t>RE 21C3*400     BILL $707.28</t>
  </si>
  <si>
    <t>FY'22</t>
  </si>
  <si>
    <t>JACOBSEN CONST GAX F21*018</t>
  </si>
  <si>
    <t>CR 22M2*010     RE 21C3*400</t>
  </si>
  <si>
    <t>CR 22M2*010     RE 21C3*386</t>
  </si>
  <si>
    <t>USU CONTROLLERS OFFC GAX 22C7*088</t>
  </si>
  <si>
    <t>ZIONS/JACOBSEN CONST RTNG GAX 22C7*099</t>
  </si>
  <si>
    <t>JACOBSEN CONST GAX 22C7*100</t>
  </si>
  <si>
    <t>CO 014</t>
  </si>
  <si>
    <t>CO 015</t>
  </si>
  <si>
    <t>AMA, AMA C0001, 005, 006, 008, 010, 015, INCREASE USU CONTINGENCY IF NEEDED</t>
  </si>
  <si>
    <t>CO 016</t>
  </si>
  <si>
    <t>SHARE OF CO 015, 016</t>
  </si>
  <si>
    <t>JACOBSEN CONST     CO 015</t>
  </si>
  <si>
    <t>JACOBSEN CONST     CO 016</t>
  </si>
  <si>
    <t>CR 22M2*027     RE 22C3*018</t>
  </si>
  <si>
    <t>RE 22C3*018     BILL $5,000.85</t>
  </si>
  <si>
    <t>USU CONTROLLERS GAX FC202111031104</t>
  </si>
  <si>
    <t>USU CONTROLLERS GAX FC202112212076</t>
  </si>
  <si>
    <t>RE 22C3*111     BILL $311.18</t>
  </si>
  <si>
    <t>CR 22M5*003     RE 22C3*111</t>
  </si>
  <si>
    <t>USU CONOTROLLERS GAX FC202202253258</t>
  </si>
  <si>
    <t>RE 22C3*147     BILL $289.13</t>
  </si>
  <si>
    <t>CR 22M5*013     RE 22C3*147</t>
  </si>
  <si>
    <t>RE 22C3*206     BILL $73.16</t>
  </si>
  <si>
    <t>JACOBSEN CONST GAX FC202204114137</t>
  </si>
  <si>
    <t>ZIONS/JACOBSEN RTNG GAX FC202204114138</t>
  </si>
  <si>
    <t>USU CONTROLLORS GAX FC202204224412</t>
  </si>
  <si>
    <t>RE 22C3*277     BILL $8,670.87</t>
  </si>
  <si>
    <t>CR 22M5*052     RE 22C3*206</t>
  </si>
  <si>
    <t>JACOBSEN CONST     CO 017</t>
  </si>
  <si>
    <t>CR 22M5*072     RE 22C3*277</t>
  </si>
  <si>
    <t>13/22</t>
  </si>
  <si>
    <t>USU CONTROLLERS GAX 22C5*654</t>
  </si>
  <si>
    <t>FY'23</t>
  </si>
  <si>
    <t>USU CONTROLLERS GA FC202208307605</t>
  </si>
  <si>
    <t>CR 23MM5*016     RE 22C3*402</t>
  </si>
  <si>
    <t>RE 22C3*402     BILL $345.55</t>
  </si>
  <si>
    <t>JACOBSEN CONST GAX F22*102</t>
  </si>
  <si>
    <t>USU CONTROLLLERS GAX FC202210189726</t>
  </si>
  <si>
    <t>RE 23C3*23     BILL $29,889.80</t>
  </si>
  <si>
    <t>CR 23M5*039     RE 23C3*023</t>
  </si>
  <si>
    <t>VCBO ARCHI     AMD 002</t>
  </si>
  <si>
    <t>RE 23C3*102     BILL $6,710.58</t>
  </si>
  <si>
    <t>USU CONTROLLERS OFFC GAX FC2022120912160</t>
  </si>
  <si>
    <t>VCBO GAX FC2022121312284</t>
  </si>
  <si>
    <t>RE 23C3*138     BILL $5,259.03</t>
  </si>
  <si>
    <t>CR 21M2-008           RE 20C3-383</t>
  </si>
  <si>
    <t>USU CONTROLLERS OFFC GAX FC2023020914818</t>
  </si>
  <si>
    <t>USU CONTROLLERS OFFC GAX FC2023021314956</t>
  </si>
  <si>
    <t>CR 23M5*072     RE 23C3*138</t>
  </si>
  <si>
    <t>CR 23M5*075     RE 23C3*102</t>
  </si>
  <si>
    <t>RE 23C3*205     BILL $3,362.17</t>
  </si>
  <si>
    <t>CR 23M5*112     RE 23C3*205</t>
  </si>
  <si>
    <t>USU CONTROLLERS GAX FC2023060620035</t>
  </si>
  <si>
    <t>RE 23C3*310     BILL $1,764.07</t>
  </si>
  <si>
    <t>13/23</t>
  </si>
  <si>
    <t>USU GAX FC2023071722571</t>
  </si>
  <si>
    <t>FY'24</t>
  </si>
  <si>
    <t>USU CONTROLLERS GAX F23*063</t>
  </si>
  <si>
    <t>CR 23M5*148     RE 23C3*310</t>
  </si>
  <si>
    <t>USU CONTROLLERS GAX FC2023081823823</t>
  </si>
  <si>
    <t>CR 24M5*015     RE 23C3*388</t>
  </si>
  <si>
    <t>RE 23C3*388     BILL $2,429.01</t>
  </si>
  <si>
    <t>UT NEW VISION GAX F23*081</t>
  </si>
  <si>
    <t>WRONG PROJ S/B 18351220</t>
  </si>
  <si>
    <t>CORRECT GAX 20C5*166 BILLED TO 19046770 S/B 18351220</t>
  </si>
  <si>
    <t>3000-300-3342-FWBAA-19046770</t>
  </si>
  <si>
    <t>CR 24M5*044     RE 24C3*021</t>
  </si>
  <si>
    <t>RE 24C3*21     BILL $11,257.61</t>
  </si>
  <si>
    <t>USU CONTROLLERS GAX FC2024031333099</t>
  </si>
  <si>
    <t>RE 24C3* 201</t>
  </si>
  <si>
    <t>USU CONTROLLERS     CO 004</t>
  </si>
  <si>
    <t>UT NEW VISION     AMD 001</t>
  </si>
  <si>
    <t>CR 24M5*110     RE 24C3*201</t>
  </si>
  <si>
    <t>UT NEW VISION     AMD 002</t>
  </si>
  <si>
    <t>COLVIN ENG AMD 001</t>
  </si>
  <si>
    <t>CR 22M5*003 RE 22C3*111 USU BIOLOGY AND NATURAL RESOURCES REN</t>
  </si>
  <si>
    <t>CR 20M2-109        RE 20C3-231</t>
  </si>
  <si>
    <t>RE 20C3*301 USU BIOLOGY AND NATURAL RESOURCES RENO</t>
  </si>
  <si>
    <t>CR 20M2-117        RE 20C3-261</t>
  </si>
  <si>
    <t>RE 20C3*339 USU BIOLOGY AND NATURAL RESOURCES RENO</t>
  </si>
  <si>
    <t>CR 20M2-122                       RE 20C3-301</t>
  </si>
  <si>
    <t>IET INCREASE USU EST REV 19046770 FOR CO 007</t>
  </si>
  <si>
    <t>CR 20M2-126                         RE 20C3-339</t>
  </si>
  <si>
    <t>RE 20C3*383 USU BIOLOGY AND NATURAL RESOURCES RENO</t>
  </si>
  <si>
    <t>RE 20C3*428 USU BIOLOGY AND NATURAL RESOURCES RENO</t>
  </si>
  <si>
    <t>CR 21M2-014         RE 20C3-428</t>
  </si>
  <si>
    <t>RE 21C3*018 USU BIOLOGY AND NATURAL RESOURCES RENO</t>
  </si>
  <si>
    <t>RE 21C3*052 USU BIOLOGY AND NATURAL RESOURCES RENO</t>
  </si>
  <si>
    <t>CR 21M2*035        RE 21C3*018</t>
  </si>
  <si>
    <t>RE 21C3*086 USU BIOLOGY AND NATURAL RESOURCES RENO</t>
  </si>
  <si>
    <t>RE 21C3*118 USU BIOLOGY AND NATURAL RESOURCES RENO</t>
  </si>
  <si>
    <t>RE 21C3*151 USU BIOLOGY AND NATURAL RESOURCES RENO</t>
  </si>
  <si>
    <t>CR 21M2*060 RE 21C3* 118 USU BIOLOGY &amp; NATURAL RESOURCES RENO</t>
  </si>
  <si>
    <t>RE 21C3*189 USU BIOLOGY AND NATURAL RESOURCES RENO</t>
  </si>
  <si>
    <t>CR 21M2*051 RE 21C3*0086</t>
  </si>
  <si>
    <t>CR30021M2000067 RE 21C3*151 USU BIOLOGY &amp; NATURAL RESOURCES RENO</t>
  </si>
  <si>
    <t>CR30021M5000003 RE 21C3*189 USU BIOLOGY AND NATURAL RESOURCES RENO</t>
  </si>
  <si>
    <t>RE 21C3*227 USU BIOLOGY AND NATURAL RESOURCES RENO</t>
  </si>
  <si>
    <t>RE 21C3*263 USU BIOLOGY AND NATURAL RESOURCES RENO</t>
  </si>
  <si>
    <t>RE 21C3*389 USU BIOLOGY AND NATURAL RESOURCES</t>
  </si>
  <si>
    <t>CR30021M2000076 RE 21C3*227 USU BIOLOGY AND NATURAL RESOURCES RENO</t>
  </si>
  <si>
    <t>RE 21C3*297 USU BIOLOGY AND NATURAL RESOURCES RENO</t>
  </si>
  <si>
    <t>CR30021M2000085 RE 21C3*263 USU BIOLOGY AND NATURAL RESOURCES RENO</t>
  </si>
  <si>
    <t>RE 21C3*329 USU BIOLOGY AND NATURAL RESOURCES RENO</t>
  </si>
  <si>
    <t>CR30021M2*095 RE 21C3*297 USU BIOLOGY AND NATURAL RESOURCES RENO</t>
  </si>
  <si>
    <t>CR30021M2*097 RE 21C3*329  USU BIOLOGY AND NATURAL RESOURCES RENO</t>
  </si>
  <si>
    <t>RE 21C3*400 USU BIOLOGY AND NATURAL RESOURCES RENO</t>
  </si>
  <si>
    <t>RE 22C3*018 USU BIOLOGY AND NATURAL RESOURCES RENO</t>
  </si>
  <si>
    <t>RE 22C3*111 USU BIOLOGY AND NATURAL RESOURCES RENO</t>
  </si>
  <si>
    <t>RE 22C3*147 USU BIOLOGY AND NATURAL RESOURCES RENO</t>
  </si>
  <si>
    <t>RE 22C3*206 USU BIOLOGY AND NATURAL RESOURCES RENO</t>
  </si>
  <si>
    <t>RE 22C3*277 USU BIOLOGY AND NATURAL RESOURCES RENO</t>
  </si>
  <si>
    <t>CR 300 22M5-052         RE 22C3-206</t>
  </si>
  <si>
    <t>RE 22C3*402 USU BIOLOGY AND NATURAL RESOURCES RENO</t>
  </si>
  <si>
    <t>CR 23M5*016     RE 22C3*402</t>
  </si>
  <si>
    <t>RE 23C3*23 USU BIOLOGY AND NATURAL RESOURCES RENO</t>
  </si>
  <si>
    <t>CR 23M5*039 RE 23C3*023 USU BIOLOGY AND NATURAL RESOURCES RENO</t>
  </si>
  <si>
    <t>RE 23C3*102 USU BIOLOGY AND NATURAL RESOURCES RENO</t>
  </si>
  <si>
    <t>CR 23M5*072     RE 23C3*138 USU BIOLOGY AND NATURAL RESOURCES RENO</t>
  </si>
  <si>
    <t>CR 23M5*075     RE 23C3*102 USU BIOLOGY AND NATURAL RESOURCES RENO</t>
  </si>
  <si>
    <t>RE 23C3*205 USU BIOLOGY AND NATURAL RESOURCES RENO</t>
  </si>
  <si>
    <t>CR 23M5*112     RE 23C5*205</t>
  </si>
  <si>
    <t>RE 23C3*310 USU BIOLOGY AND NATURAL RESOURCES RENO</t>
  </si>
  <si>
    <t>RE 23C3*388 USU BIOLOGY AND NATURAL RESOURCES RENO</t>
  </si>
  <si>
    <t>RE 24C3*021 USU BIOLOGY AND NATURAL RESOURCES RENO</t>
  </si>
  <si>
    <t>RE 23C3*138 USU BIOLOGY AND NATURAL RESOURCES RENO</t>
  </si>
  <si>
    <t>RE 24C3*201 USU BIOLOGY AND NATURAL RESOURCES RENO</t>
  </si>
  <si>
    <t>NUMBER</t>
  </si>
  <si>
    <t>FY'25</t>
  </si>
  <si>
    <t>IDT USU EST REVENUE DECREASE -19046770</t>
  </si>
  <si>
    <t>TRNSF TO 21136300 PROJ RESV FROM 19046770 TO CLOSE PROJECT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</si>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</sst>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  <numFmt numFmtId="168" formatCode="0.0%"/>
  </numFmts>
  <fonts count="26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FF00"/>
      <name val="Arial"/>
      <family val="2"/>
    </font>
    <font>
      <u/>
      <sz val="9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name val="Helv"/>
    </font>
    <font>
      <sz val="11"/>
      <name val="Calibri"/>
      <family val="2"/>
      <scheme val="minor"/>
    </font>
    <font>
      <sz val="9"/>
      <color rgb="FF0000FF"/>
      <name val="Arial"/>
      <family val="2"/>
    </font>
    <font>
      <sz val="9"/>
      <color theme="1"/>
      <name val="Arial"/>
      <family val="2"/>
    </font>
    <font>
      <b/>
      <sz val="9"/>
      <color rgb="FF0000FF"/>
      <name val="Arial"/>
      <family val="2"/>
    </font>
    <font>
      <sz val="9"/>
      <name val="Times New Roman"/>
      <family val="1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7" fillId="0" borderId="0"/>
    <xf numFmtId="43" fontId="18" fillId="0" borderId="0" applyFont="0" applyFill="0" applyBorder="0" applyAlignment="0" applyProtection="0"/>
    <xf numFmtId="164" fontId="2" fillId="0" borderId="0"/>
    <xf numFmtId="164" fontId="1" fillId="0" borderId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/>
    <xf numFmtId="43" fontId="1" fillId="0" borderId="0" applyFont="0" applyFill="0" applyBorder="0" applyAlignment="0" applyProtection="0"/>
  </cellStyleXfs>
  <cellXfs count="204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37" fontId="5" fillId="0" borderId="0" xfId="0" quotePrefix="1" applyNumberFormat="1" applyFont="1" applyAlignment="1" applyProtection="1">
      <alignment horizontal="left"/>
      <protection locked="0"/>
    </xf>
    <xf numFmtId="164" fontId="14" fillId="0" borderId="0" xfId="0" applyFont="1" applyProtection="1"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168" fontId="4" fillId="0" borderId="0" xfId="8" applyNumberFormat="1" applyFont="1" applyProtection="1">
      <protection locked="0"/>
    </xf>
    <xf numFmtId="167" fontId="4" fillId="0" borderId="0" xfId="2" applyNumberFormat="1" applyFont="1" applyProtection="1">
      <protection locked="0"/>
    </xf>
    <xf numFmtId="167" fontId="16" fillId="0" borderId="0" xfId="2" applyNumberFormat="1" applyFont="1" applyProtection="1">
      <protection locked="0"/>
    </xf>
    <xf numFmtId="167" fontId="5" fillId="0" borderId="1" xfId="2" applyNumberFormat="1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0" fontId="5" fillId="0" borderId="0" xfId="9" applyFont="1"/>
    <xf numFmtId="17" fontId="10" fillId="0" borderId="0" xfId="2" applyNumberFormat="1" applyFont="1" applyAlignment="1" applyProtection="1">
      <alignment horizontal="center"/>
    </xf>
    <xf numFmtId="43" fontId="4" fillId="0" borderId="0" xfId="2" applyFont="1" applyBorder="1" applyAlignment="1" applyProtection="1">
      <alignment horizontal="left"/>
    </xf>
    <xf numFmtId="49" fontId="11" fillId="0" borderId="0" xfId="2" applyNumberFormat="1" applyFont="1" applyBorder="1" applyAlignment="1" applyProtection="1">
      <alignment horizontal="center"/>
    </xf>
    <xf numFmtId="43" fontId="4" fillId="0" borderId="0" xfId="2" applyFont="1" applyBorder="1" applyProtection="1"/>
    <xf numFmtId="49" fontId="4" fillId="0" borderId="0" xfId="2" applyNumberFormat="1" applyFont="1" applyBorder="1" applyAlignment="1" applyProtection="1">
      <alignment horizontal="center"/>
    </xf>
    <xf numFmtId="1" fontId="4" fillId="0" borderId="0" xfId="2" applyNumberFormat="1" applyFont="1" applyBorder="1" applyAlignment="1" applyProtection="1">
      <alignment horizontal="center"/>
    </xf>
    <xf numFmtId="43" fontId="4" fillId="0" borderId="0" xfId="2" applyFont="1" applyProtection="1"/>
    <xf numFmtId="17" fontId="4" fillId="0" borderId="0" xfId="2" applyNumberFormat="1" applyFont="1" applyAlignment="1" applyProtection="1">
      <alignment horizontal="center"/>
    </xf>
    <xf numFmtId="49" fontId="15" fillId="0" borderId="0" xfId="2" applyNumberFormat="1" applyFont="1" applyBorder="1" applyAlignment="1" applyProtection="1">
      <alignment horizontal="center"/>
    </xf>
    <xf numFmtId="43" fontId="4" fillId="0" borderId="0" xfId="2" quotePrefix="1" applyFont="1" applyBorder="1" applyAlignment="1" applyProtection="1">
      <alignment horizontal="left"/>
    </xf>
    <xf numFmtId="43" fontId="4" fillId="0" borderId="0" xfId="2" applyFont="1" applyBorder="1" applyAlignment="1" applyProtection="1">
      <alignment horizontal="center"/>
    </xf>
    <xf numFmtId="43" fontId="5" fillId="0" borderId="0" xfId="2" applyFont="1" applyBorder="1" applyAlignment="1" applyProtection="1">
      <alignment horizontal="left"/>
    </xf>
    <xf numFmtId="43" fontId="5" fillId="2" borderId="0" xfId="2" applyFont="1" applyFill="1" applyBorder="1" applyProtection="1">
      <protection locked="0"/>
    </xf>
    <xf numFmtId="43" fontId="3" fillId="0" borderId="0" xfId="2" applyFont="1"/>
    <xf numFmtId="1" fontId="5" fillId="0" borderId="0" xfId="0" applyNumberFormat="1" applyFont="1" applyAlignment="1" applyProtection="1">
      <alignment horizontal="left"/>
      <protection locked="0"/>
    </xf>
    <xf numFmtId="167" fontId="5" fillId="0" borderId="0" xfId="2" applyNumberFormat="1" applyFont="1" applyAlignment="1" applyProtection="1">
      <alignment horizontal="left"/>
      <protection locked="0"/>
    </xf>
    <xf numFmtId="164" fontId="19" fillId="0" borderId="0" xfId="0" applyFont="1" applyProtection="1">
      <protection locked="0"/>
    </xf>
    <xf numFmtId="43" fontId="5" fillId="0" borderId="11" xfId="2" applyFont="1" applyBorder="1" applyProtection="1">
      <protection locked="0"/>
    </xf>
    <xf numFmtId="17" fontId="4" fillId="0" borderId="0" xfId="2" applyNumberFormat="1" applyFont="1" applyFill="1" applyAlignment="1" applyProtection="1">
      <alignment horizontal="center"/>
      <protection locked="0"/>
    </xf>
    <xf numFmtId="43" fontId="4" fillId="0" borderId="0" xfId="2" applyFont="1" applyFill="1" applyBorder="1" applyAlignment="1" applyProtection="1">
      <alignment horizontal="left"/>
      <protection locked="0"/>
    </xf>
    <xf numFmtId="49" fontId="15" fillId="0" borderId="0" xfId="2" applyNumberFormat="1" applyFont="1" applyFill="1" applyBorder="1" applyAlignment="1" applyProtection="1">
      <alignment horizontal="center"/>
      <protection locked="0"/>
    </xf>
    <xf numFmtId="43" fontId="4" fillId="0" borderId="0" xfId="2" applyFont="1" applyFill="1" applyBorder="1" applyProtection="1">
      <protection locked="0"/>
    </xf>
    <xf numFmtId="49" fontId="4" fillId="0" borderId="0" xfId="2" applyNumberFormat="1" applyFont="1" applyFill="1" applyBorder="1" applyAlignment="1" applyProtection="1">
      <alignment horizontal="center"/>
      <protection locked="0"/>
    </xf>
    <xf numFmtId="1" fontId="4" fillId="0" borderId="0" xfId="2" applyNumberFormat="1" applyFont="1" applyFill="1" applyBorder="1" applyAlignment="1" applyProtection="1">
      <alignment horizontal="center"/>
      <protection locked="0"/>
    </xf>
    <xf numFmtId="43" fontId="4" fillId="0" borderId="0" xfId="2" applyFont="1" applyFill="1" applyProtection="1">
      <protection locked="0"/>
    </xf>
    <xf numFmtId="43" fontId="4" fillId="3" borderId="0" xfId="2" applyFont="1" applyFill="1" applyProtection="1"/>
    <xf numFmtId="43" fontId="4" fillId="3" borderId="0" xfId="2" applyFont="1" applyFill="1" applyBorder="1" applyAlignment="1" applyProtection="1">
      <alignment horizontal="left"/>
      <protection locked="0"/>
    </xf>
    <xf numFmtId="164" fontId="4" fillId="3" borderId="0" xfId="0" applyFont="1" applyFill="1" applyProtection="1">
      <protection locked="0"/>
    </xf>
    <xf numFmtId="167" fontId="4" fillId="3" borderId="0" xfId="2" applyNumberFormat="1" applyFont="1" applyFill="1" applyProtection="1">
      <protection locked="0"/>
    </xf>
    <xf numFmtId="44" fontId="4" fillId="3" borderId="0" xfId="5" applyFont="1" applyFill="1" applyProtection="1">
      <protection locked="0"/>
    </xf>
    <xf numFmtId="164" fontId="3" fillId="2" borderId="0" xfId="0" applyFont="1" applyFill="1"/>
    <xf numFmtId="164" fontId="8" fillId="2" borderId="1" xfId="0" applyFont="1" applyFill="1" applyBorder="1"/>
    <xf numFmtId="164" fontId="1" fillId="2" borderId="0" xfId="0" applyFont="1" applyFill="1"/>
    <xf numFmtId="43" fontId="3" fillId="2" borderId="0" xfId="2" applyFont="1" applyFill="1"/>
    <xf numFmtId="5" fontId="3" fillId="2" borderId="0" xfId="0" applyNumberFormat="1" applyFont="1" applyFill="1"/>
    <xf numFmtId="5" fontId="3" fillId="2" borderId="0" xfId="0" applyNumberFormat="1" applyFont="1" applyFill="1" applyAlignment="1">
      <alignment horizontal="left"/>
    </xf>
    <xf numFmtId="43" fontId="3" fillId="2" borderId="1" xfId="2" applyFont="1" applyFill="1" applyBorder="1"/>
    <xf numFmtId="164" fontId="1" fillId="0" borderId="0" xfId="0" applyFont="1"/>
    <xf numFmtId="44" fontId="0" fillId="0" borderId="0" xfId="5" applyFont="1"/>
    <xf numFmtId="44" fontId="1" fillId="0" borderId="0" xfId="5" applyFont="1"/>
    <xf numFmtId="164" fontId="20" fillId="0" borderId="0" xfId="0" applyFont="1"/>
    <xf numFmtId="44" fontId="0" fillId="0" borderId="0" xfId="0" applyNumberFormat="1"/>
    <xf numFmtId="43" fontId="3" fillId="4" borderId="0" xfId="2" applyFont="1" applyFill="1"/>
    <xf numFmtId="164" fontId="4" fillId="4" borderId="0" xfId="0" applyFont="1" applyFill="1" applyAlignment="1" applyProtection="1">
      <alignment horizontal="left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4" fillId="0" borderId="0" xfId="2" applyFont="1" applyAlignment="1" applyProtection="1">
      <alignment horizontal="left"/>
      <protection locked="0"/>
    </xf>
    <xf numFmtId="164" fontId="5" fillId="0" borderId="0" xfId="0" applyFont="1" applyAlignment="1" applyProtection="1">
      <alignment horizontal="left"/>
      <protection locked="0"/>
    </xf>
    <xf numFmtId="43" fontId="4" fillId="0" borderId="0" xfId="0" applyNumberFormat="1" applyFont="1" applyProtection="1">
      <protection locked="0"/>
    </xf>
    <xf numFmtId="43" fontId="3" fillId="3" borderId="0" xfId="2" applyFont="1" applyFill="1"/>
    <xf numFmtId="164" fontId="1" fillId="3" borderId="0" xfId="0" applyFont="1" applyFill="1"/>
    <xf numFmtId="43" fontId="3" fillId="0" borderId="0" xfId="2" applyFont="1" applyBorder="1"/>
    <xf numFmtId="43" fontId="4" fillId="2" borderId="0" xfId="2" applyFont="1" applyFill="1" applyBorder="1" applyProtection="1"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17" fontId="10" fillId="0" borderId="0" xfId="0" applyNumberFormat="1" applyFont="1" applyAlignment="1" applyProtection="1">
      <alignment horizontal="center"/>
      <protection locked="0"/>
    </xf>
    <xf numFmtId="7" fontId="1" fillId="0" borderId="0" xfId="0" applyNumberFormat="1" applyFont="1"/>
    <xf numFmtId="5" fontId="1" fillId="2" borderId="0" xfId="0" applyNumberFormat="1" applyFont="1" applyFill="1"/>
    <xf numFmtId="5" fontId="8" fillId="0" borderId="2" xfId="0" applyNumberFormat="1" applyFont="1" applyBorder="1" applyAlignment="1">
      <alignment horizontal="right"/>
    </xf>
    <xf numFmtId="164" fontId="8" fillId="0" borderId="1" xfId="0" applyFont="1" applyBorder="1"/>
    <xf numFmtId="43" fontId="3" fillId="0" borderId="0" xfId="2" applyFont="1" applyFill="1"/>
    <xf numFmtId="43" fontId="1" fillId="0" borderId="0" xfId="2" applyFont="1" applyFill="1"/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43" fontId="3" fillId="0" borderId="1" xfId="2" applyFont="1" applyFill="1" applyBorder="1"/>
    <xf numFmtId="43" fontId="5" fillId="3" borderId="0" xfId="2" applyFont="1" applyFill="1" applyBorder="1" applyAlignment="1" applyProtection="1">
      <alignment horizontal="left"/>
      <protection locked="0"/>
    </xf>
    <xf numFmtId="17" fontId="4" fillId="5" borderId="0" xfId="2" applyNumberFormat="1" applyFont="1" applyFill="1" applyAlignment="1" applyProtection="1">
      <alignment horizontal="center"/>
      <protection locked="0"/>
    </xf>
    <xf numFmtId="43" fontId="4" fillId="5" borderId="0" xfId="2" applyFont="1" applyFill="1" applyBorder="1" applyAlignment="1" applyProtection="1">
      <alignment horizontal="left"/>
      <protection locked="0"/>
    </xf>
    <xf numFmtId="49" fontId="15" fillId="5" borderId="0" xfId="2" applyNumberFormat="1" applyFont="1" applyFill="1" applyBorder="1" applyAlignment="1" applyProtection="1">
      <alignment horizontal="center"/>
      <protection locked="0"/>
    </xf>
    <xf numFmtId="43" fontId="4" fillId="5" borderId="0" xfId="2" applyFont="1" applyFill="1" applyBorder="1" applyProtection="1">
      <protection locked="0"/>
    </xf>
    <xf numFmtId="49" fontId="4" fillId="5" borderId="0" xfId="2" applyNumberFormat="1" applyFont="1" applyFill="1" applyBorder="1" applyAlignment="1" applyProtection="1">
      <alignment horizontal="center"/>
      <protection locked="0"/>
    </xf>
    <xf numFmtId="1" fontId="4" fillId="5" borderId="0" xfId="2" applyNumberFormat="1" applyFont="1" applyFill="1" applyBorder="1" applyAlignment="1" applyProtection="1">
      <alignment horizontal="center"/>
      <protection locked="0"/>
    </xf>
    <xf numFmtId="17" fontId="4" fillId="5" borderId="0" xfId="0" applyNumberFormat="1" applyFont="1" applyFill="1" applyAlignment="1" applyProtection="1">
      <alignment horizontal="center"/>
      <protection locked="0"/>
    </xf>
    <xf numFmtId="164" fontId="4" fillId="5" borderId="0" xfId="0" applyFont="1" applyFill="1" applyAlignment="1" applyProtection="1">
      <alignment horizontal="left"/>
      <protection locked="0"/>
    </xf>
    <xf numFmtId="49" fontId="11" fillId="5" borderId="0" xfId="0" applyNumberFormat="1" applyFont="1" applyFill="1" applyAlignment="1" applyProtection="1">
      <alignment horizontal="center"/>
      <protection locked="0"/>
    </xf>
    <xf numFmtId="43" fontId="4" fillId="5" borderId="0" xfId="2" applyFont="1" applyFill="1" applyProtection="1">
      <protection locked="0"/>
    </xf>
    <xf numFmtId="49" fontId="4" fillId="5" borderId="0" xfId="0" applyNumberFormat="1" applyFont="1" applyFill="1" applyAlignment="1" applyProtection="1">
      <alignment horizontal="center"/>
      <protection locked="0"/>
    </xf>
    <xf numFmtId="1" fontId="4" fillId="5" borderId="0" xfId="0" applyNumberFormat="1" applyFont="1" applyFill="1" applyAlignment="1" applyProtection="1">
      <alignment horizontal="center"/>
      <protection locked="0"/>
    </xf>
    <xf numFmtId="43" fontId="4" fillId="5" borderId="0" xfId="0" applyNumberFormat="1" applyFont="1" applyFill="1" applyProtection="1">
      <protection locked="0"/>
    </xf>
    <xf numFmtId="49" fontId="21" fillId="0" borderId="0" xfId="0" applyNumberFormat="1" applyFont="1" applyAlignment="1" applyProtection="1">
      <alignment horizontal="center"/>
      <protection locked="0"/>
    </xf>
    <xf numFmtId="1" fontId="4" fillId="0" borderId="0" xfId="2" applyNumberFormat="1" applyFont="1" applyAlignment="1" applyProtection="1">
      <alignment horizontal="center"/>
      <protection locked="0"/>
    </xf>
    <xf numFmtId="43" fontId="4" fillId="3" borderId="0" xfId="2" applyFont="1" applyFill="1" applyProtection="1">
      <protection locked="0"/>
    </xf>
    <xf numFmtId="17" fontId="4" fillId="0" borderId="0" xfId="16" applyNumberFormat="1" applyFont="1" applyAlignment="1" applyProtection="1">
      <alignment horizontal="center"/>
      <protection locked="0"/>
    </xf>
    <xf numFmtId="164" fontId="5" fillId="0" borderId="0" xfId="16" applyFont="1" applyAlignment="1" applyProtection="1">
      <alignment horizontal="left"/>
      <protection locked="0"/>
    </xf>
    <xf numFmtId="43" fontId="4" fillId="0" borderId="0" xfId="17" applyFont="1" applyProtection="1">
      <protection locked="0"/>
    </xf>
    <xf numFmtId="1" fontId="4" fillId="0" borderId="0" xfId="16" applyNumberFormat="1" applyFont="1" applyAlignment="1" applyProtection="1">
      <alignment horizontal="center"/>
      <protection locked="0"/>
    </xf>
    <xf numFmtId="39" fontId="4" fillId="0" borderId="0" xfId="0" applyNumberFormat="1" applyFont="1" applyProtection="1">
      <protection locked="0"/>
    </xf>
    <xf numFmtId="39" fontId="4" fillId="0" borderId="0" xfId="2" applyNumberFormat="1" applyFont="1" applyBorder="1" applyProtection="1">
      <protection locked="0"/>
    </xf>
    <xf numFmtId="39" fontId="4" fillId="0" borderId="0" xfId="2" applyNumberFormat="1" applyFont="1" applyProtection="1">
      <protection locked="0"/>
    </xf>
    <xf numFmtId="43" fontId="22" fillId="0" borderId="0" xfId="0" applyNumberFormat="1" applyFont="1"/>
    <xf numFmtId="17" fontId="5" fillId="0" borderId="0" xfId="0" applyNumberFormat="1" applyFont="1" applyAlignment="1" applyProtection="1">
      <alignment horizontal="center"/>
      <protection locked="0"/>
    </xf>
    <xf numFmtId="49" fontId="23" fillId="0" borderId="1" xfId="0" applyNumberFormat="1" applyFont="1" applyBorder="1" applyAlignment="1" applyProtection="1">
      <alignment horizontal="center"/>
      <protection locked="0"/>
    </xf>
    <xf numFmtId="43" fontId="5" fillId="0" borderId="1" xfId="2" applyFont="1" applyBorder="1" applyAlignment="1" applyProtection="1">
      <alignment horizontal="center" vertical="center" wrapText="1"/>
      <protection locked="0"/>
    </xf>
    <xf numFmtId="43" fontId="24" fillId="0" borderId="0" xfId="2" applyFont="1" applyBorder="1" applyAlignment="1" applyProtection="1">
      <alignment horizontal="left"/>
      <protection locked="0"/>
    </xf>
    <xf numFmtId="164" fontId="25" fillId="0" borderId="0" xfId="0" applyFont="1" applyAlignment="1" applyProtection="1">
      <alignment horizontal="left"/>
      <protection locked="0"/>
    </xf>
  </cellXfs>
  <cellStyles count="18">
    <cellStyle name="ALYN1" xfId="1" xr:uid="{00000000-0005-0000-0000-000000000000}"/>
    <cellStyle name="ALYN1 2" xfId="12" xr:uid="{00000000-0005-0000-0000-000001000000}"/>
    <cellStyle name="Comma" xfId="2" builtinId="3"/>
    <cellStyle name="Comma 2" xfId="13" xr:uid="{00000000-0005-0000-0000-000003000000}"/>
    <cellStyle name="Comma 3" xfId="10" xr:uid="{00000000-0005-0000-0000-000004000000}"/>
    <cellStyle name="Comma 6" xfId="17" xr:uid="{9FABDC5C-0195-4E39-A5ED-00F407F505E5}"/>
    <cellStyle name="Comma0 - Style4" xfId="3" xr:uid="{00000000-0005-0000-0000-000005000000}"/>
    <cellStyle name="Comma1 - Style1" xfId="4" xr:uid="{00000000-0005-0000-0000-000006000000}"/>
    <cellStyle name="Currency" xfId="5" builtinId="4"/>
    <cellStyle name="Currency 2" xfId="14" xr:uid="{00000000-0005-0000-0000-000008000000}"/>
    <cellStyle name="Date - Style3" xfId="6" xr:uid="{00000000-0005-0000-0000-000009000000}"/>
    <cellStyle name="Normal" xfId="0" builtinId="0"/>
    <cellStyle name="Normal 2" xfId="11" xr:uid="{00000000-0005-0000-0000-00000B000000}"/>
    <cellStyle name="Normal 3" xfId="9" xr:uid="{00000000-0005-0000-0000-00000C000000}"/>
    <cellStyle name="Normal 7" xfId="16" xr:uid="{3890E859-61DF-48F9-99B2-A5DFAD93D196}"/>
    <cellStyle name="Percen - Style2" xfId="7" xr:uid="{00000000-0005-0000-0000-00000D000000}"/>
    <cellStyle name="Percent" xfId="8" builtinId="5"/>
    <cellStyle name="Percent 2" xfId="15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658"/>
  <sheetViews>
    <sheetView tabSelected="1" zoomScaleNormal="75" workbookViewId="0">
      <pane ySplit="12" topLeftCell="A372" activePane="bottomLeft" state="frozen"/>
      <selection pane="bottomLeft" activeCell="C381" sqref="C381"/>
    </sheetView>
  </sheetViews>
  <sheetFormatPr defaultColWidth="8.88671875" defaultRowHeight="12" x14ac:dyDescent="0.2"/>
  <cols>
    <col min="1" max="1" width="5.77734375" style="48" customWidth="1"/>
    <col min="2" max="2" width="34.21875" style="49" customWidth="1"/>
    <col min="3" max="3" width="3.77734375" style="50" customWidth="1"/>
    <col min="4" max="9" width="10.44140625" style="51" customWidth="1"/>
    <col min="10" max="10" width="8.6640625" style="87" customWidth="1"/>
    <col min="11" max="11" width="5.88671875" style="88" customWidth="1"/>
    <col min="12" max="12" width="9.77734375" style="51" customWidth="1"/>
    <col min="13" max="14" width="10.44140625" style="51" bestFit="1" customWidth="1"/>
    <col min="15" max="15" width="9.6640625" style="51" bestFit="1" customWidth="1"/>
    <col min="16" max="16384" width="8.88671875" style="51"/>
  </cols>
  <sheetData>
    <row r="1" spans="1:254" x14ac:dyDescent="0.2">
      <c r="H1" s="89" t="s">
        <v>37</v>
      </c>
      <c r="J1" s="52"/>
      <c r="K1" s="53"/>
      <c r="L1" s="89" t="s">
        <v>61</v>
      </c>
      <c r="O1" s="51" t="s">
        <v>62</v>
      </c>
    </row>
    <row r="2" spans="1:254" s="5" customFormat="1" ht="14.1" customHeight="1" x14ac:dyDescent="0.2">
      <c r="A2" s="3"/>
      <c r="B2" s="2" t="s">
        <v>0</v>
      </c>
      <c r="C2" s="46"/>
      <c r="D2" s="95"/>
      <c r="H2" s="5" t="s">
        <v>72</v>
      </c>
      <c r="I2" s="81">
        <f>19206726+348600-60000-(12000+30000+19392)-2272785-77200-BUDGET!N20-3190-243764+(470000)-BUDGET!N21+35098-BUDGET!N56+58911+27187.01</f>
        <v>27187.01</v>
      </c>
      <c r="J2" s="126" t="s">
        <v>431</v>
      </c>
      <c r="K2" s="6"/>
      <c r="L2" s="51" t="s">
        <v>63</v>
      </c>
      <c r="M2" s="106">
        <v>23000000</v>
      </c>
      <c r="N2" s="105">
        <f>+M2/M4</f>
        <v>0.88461538461538458</v>
      </c>
      <c r="O2" s="90">
        <f>1112557*N2</f>
        <v>984185.03846153838</v>
      </c>
    </row>
    <row r="3" spans="1:254" s="5" customFormat="1" ht="14.1" customHeight="1" x14ac:dyDescent="0.2">
      <c r="A3" s="3"/>
      <c r="B3" s="4" t="s">
        <v>1</v>
      </c>
      <c r="C3" s="45"/>
      <c r="D3" s="103" t="s">
        <v>55</v>
      </c>
      <c r="H3" s="5" t="s">
        <v>47</v>
      </c>
      <c r="I3" s="90">
        <f>1988521+25000-27.96-1725324-4850-880-110-440-330-110-220-330-110-110-6520-(8606)-7393.4-110-220-7147.6</f>
        <v>250682.04000000004</v>
      </c>
      <c r="J3" s="91"/>
      <c r="K3" s="6"/>
      <c r="L3" s="51" t="s">
        <v>71</v>
      </c>
      <c r="M3" s="107">
        <v>3000000</v>
      </c>
      <c r="N3" s="105">
        <f>+M3/M4</f>
        <v>0.11538461538461539</v>
      </c>
      <c r="O3" s="108">
        <f>1112557*N3</f>
        <v>128371.96153846155</v>
      </c>
    </row>
    <row r="4" spans="1:254" s="5" customFormat="1" ht="14.1" customHeight="1" x14ac:dyDescent="0.2">
      <c r="A4" s="3"/>
      <c r="B4" s="94" t="s">
        <v>50</v>
      </c>
      <c r="C4" s="45"/>
      <c r="D4" s="102" t="s">
        <v>56</v>
      </c>
      <c r="H4" s="5" t="s">
        <v>73</v>
      </c>
      <c r="I4" s="90">
        <f>2200000+238435+(192067-192067)+99820-(1773909+99820+400000+235186)</f>
        <v>29340</v>
      </c>
      <c r="J4" s="91" t="s">
        <v>76</v>
      </c>
      <c r="K4" s="6"/>
      <c r="L4" s="51" t="s">
        <v>64</v>
      </c>
      <c r="M4" s="106">
        <f>SUM(M2:M3)</f>
        <v>26000000</v>
      </c>
      <c r="N4" s="105"/>
      <c r="O4" s="90">
        <f>SUM(O2:O3)</f>
        <v>1112557</v>
      </c>
    </row>
    <row r="5" spans="1:254" s="5" customFormat="1" ht="14.1" customHeight="1" x14ac:dyDescent="0.2">
      <c r="A5" s="3"/>
      <c r="B5" s="2" t="s">
        <v>2</v>
      </c>
      <c r="C5" s="46"/>
      <c r="D5" s="5" t="s">
        <v>54</v>
      </c>
      <c r="H5" s="5" t="s">
        <v>74</v>
      </c>
      <c r="I5" s="90">
        <f>(172861-157920-400-1320+117108.93)+(28810-9805-129.19)+(39500-39500)-13301.1-BUDGET!M62</f>
        <v>125124.63999999998</v>
      </c>
      <c r="J5" s="126" t="s">
        <v>503</v>
      </c>
      <c r="K5" s="6"/>
      <c r="L5" s="138" t="s">
        <v>299</v>
      </c>
      <c r="M5" s="139"/>
      <c r="N5" s="140">
        <f>+D21+D150+D220</f>
        <v>3316765.38</v>
      </c>
      <c r="O5" s="92"/>
    </row>
    <row r="6" spans="1:254" s="5" customFormat="1" ht="14.1" customHeight="1" thickBot="1" x14ac:dyDescent="0.35">
      <c r="A6" s="3"/>
      <c r="B6" s="2" t="s">
        <v>3</v>
      </c>
      <c r="C6" s="46"/>
      <c r="D6" s="101">
        <v>19046770</v>
      </c>
      <c r="E6" s="5" t="s">
        <v>625</v>
      </c>
      <c r="H6" s="5" t="s">
        <v>75</v>
      </c>
      <c r="I6" s="128">
        <f>(128372-(35098)+190408.98+126356.4-BUDGET!L48-BUDGET!L49-BUDGET!L50-BUDGET!L51-BUDGET!L52-BUDGET!L53-BUDGET!L54-BUDGET!L55-BUDGET!M48-BUDGET!M49-BUDGET!M50-BUDGET!M51-BUDGET!M53-BUDGET!M54-BUDGET!M55-BUDGET!M56-BUDGET!L56-BUDGET!L57-BUDGET!M57-BUDGET!L58-BUDGET!M58-BUDGET!M59)+(240000-49500+9900-85000-70000)+(97500-65448-28800)-3806.8-1541.68-3286-BUDGET!M61+13301.1</f>
        <v>1.1095835361629725E-10</v>
      </c>
      <c r="J6" s="126" t="s">
        <v>501</v>
      </c>
      <c r="K6" s="125" t="s">
        <v>136</v>
      </c>
      <c r="L6" s="127"/>
      <c r="M6" s="54"/>
      <c r="N6" s="54" t="s">
        <v>297</v>
      </c>
    </row>
    <row r="7" spans="1:254" s="5" customFormat="1" ht="14.1" customHeight="1" x14ac:dyDescent="0.2">
      <c r="A7" s="3"/>
      <c r="B7" s="2" t="s">
        <v>4</v>
      </c>
      <c r="C7" s="46"/>
      <c r="D7" s="95" t="s">
        <v>558</v>
      </c>
      <c r="G7" s="80">
        <f>+G11-F11</f>
        <v>0</v>
      </c>
      <c r="H7" s="5" t="s">
        <v>48</v>
      </c>
      <c r="I7" s="92">
        <f>SUM(I2:I6)</f>
        <v>432333.69000000018</v>
      </c>
      <c r="J7" s="93">
        <f>+H11-I7</f>
        <v>-432333.69000000018</v>
      </c>
      <c r="K7" s="6"/>
      <c r="L7" s="37"/>
      <c r="M7" s="38"/>
      <c r="N7" s="39"/>
    </row>
    <row r="8" spans="1:254" s="5" customFormat="1" ht="14.1" customHeight="1" x14ac:dyDescent="0.2">
      <c r="A8" s="3"/>
      <c r="B8" s="55"/>
      <c r="C8" s="56"/>
      <c r="D8" s="57"/>
      <c r="E8" s="57" t="s">
        <v>5</v>
      </c>
      <c r="F8" s="57"/>
      <c r="G8" s="57"/>
      <c r="H8" s="57"/>
      <c r="I8" s="57" t="s">
        <v>6</v>
      </c>
      <c r="J8" s="58" t="s">
        <v>45</v>
      </c>
      <c r="K8" s="59" t="s">
        <v>46</v>
      </c>
      <c r="L8" s="96"/>
      <c r="M8" s="80"/>
    </row>
    <row r="9" spans="1:254" s="67" customFormat="1" ht="14.1" customHeight="1" x14ac:dyDescent="0.2">
      <c r="A9" s="3"/>
      <c r="B9" s="60" t="s">
        <v>7</v>
      </c>
      <c r="C9" s="61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7" t="s">
        <v>51</v>
      </c>
      <c r="M9" s="98" t="s">
        <v>52</v>
      </c>
    </row>
    <row r="10" spans="1:254" s="75" customFormat="1" ht="14.1" customHeight="1" x14ac:dyDescent="0.2">
      <c r="A10" s="68"/>
      <c r="B10" s="69"/>
      <c r="C10" s="70"/>
      <c r="D10" s="71"/>
      <c r="E10" s="71"/>
      <c r="F10" s="71"/>
      <c r="G10" s="71"/>
      <c r="H10" s="71"/>
      <c r="I10" s="71"/>
      <c r="J10" s="72"/>
      <c r="K10" s="73"/>
      <c r="L10" s="99">
        <f>F11*N3</f>
        <v>2919592.5219230787</v>
      </c>
      <c r="M10" s="9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</row>
    <row r="11" spans="1:254" s="81" customFormat="1" ht="14.1" customHeight="1" x14ac:dyDescent="0.2">
      <c r="A11" s="42" t="s">
        <v>14</v>
      </c>
      <c r="B11" s="76" t="s">
        <v>15</v>
      </c>
      <c r="C11" s="77"/>
      <c r="D11" s="12">
        <f>SUM(D14:D501)</f>
        <v>25303135.189999994</v>
      </c>
      <c r="E11" s="12">
        <f>SUM(E14:E501)-F11</f>
        <v>-590277.69000001997</v>
      </c>
      <c r="F11" s="12">
        <f>SUM(F14:F501)</f>
        <v>25303135.190000013</v>
      </c>
      <c r="G11" s="12">
        <f>SUM(G14:G501)</f>
        <v>25303135.189999998</v>
      </c>
      <c r="H11" s="12">
        <f>+D11-G11</f>
        <v>0</v>
      </c>
      <c r="I11" s="12">
        <f>SUM(I14:I501)</f>
        <v>2919592.5199999982</v>
      </c>
      <c r="J11" s="78"/>
      <c r="K11" s="79"/>
      <c r="L11" s="100">
        <f>SUM(L13:L501)</f>
        <v>2919592.5199999982</v>
      </c>
      <c r="M11" s="100">
        <f>SUM(M13:M242)</f>
        <v>0</v>
      </c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</row>
    <row r="12" spans="1:254" s="81" customFormat="1" ht="14.1" customHeight="1" x14ac:dyDescent="0.2">
      <c r="A12" s="42"/>
      <c r="B12" s="82"/>
      <c r="C12" s="83"/>
      <c r="D12" s="13"/>
      <c r="E12" s="41"/>
      <c r="F12" s="13"/>
      <c r="G12" s="13"/>
      <c r="H12" s="13"/>
      <c r="I12" s="13"/>
      <c r="J12" s="84"/>
      <c r="K12" s="85"/>
      <c r="L12" s="86">
        <f>L10-L11</f>
        <v>1.9230805337429047E-3</v>
      </c>
      <c r="M12" s="80">
        <f>M11-L11</f>
        <v>-2919592.5199999982</v>
      </c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</row>
    <row r="13" spans="1:254" s="11" customFormat="1" ht="14.1" customHeight="1" x14ac:dyDescent="0.2">
      <c r="A13" s="40"/>
      <c r="B13" s="8"/>
      <c r="C13" s="47" t="s">
        <v>49</v>
      </c>
      <c r="D13" s="9"/>
      <c r="E13" s="9">
        <f>+D13</f>
        <v>0</v>
      </c>
      <c r="F13" s="9"/>
      <c r="G13" s="9">
        <f t="shared" ref="G13:G19" si="0">IF(J13&gt;0,0,F13)</f>
        <v>0</v>
      </c>
      <c r="H13" s="9">
        <f t="shared" ref="H13:H19" si="1">+D13</f>
        <v>0</v>
      </c>
      <c r="I13" s="9"/>
      <c r="J13" s="44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7" customFormat="1" ht="14.1" customHeight="1" x14ac:dyDescent="0.2">
      <c r="A14" s="111" t="s">
        <v>53</v>
      </c>
      <c r="B14" s="112"/>
      <c r="C14" s="113" t="s">
        <v>49</v>
      </c>
      <c r="D14" s="114"/>
      <c r="E14" s="114">
        <f>+D14</f>
        <v>0</v>
      </c>
      <c r="F14" s="114"/>
      <c r="G14" s="114">
        <f t="shared" si="0"/>
        <v>0</v>
      </c>
      <c r="H14" s="114">
        <f t="shared" si="1"/>
        <v>0</v>
      </c>
      <c r="I14" s="114"/>
      <c r="J14" s="115"/>
      <c r="K14" s="116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4"/>
      <c r="CF14" s="114"/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4"/>
      <c r="CZ14" s="114"/>
      <c r="DA14" s="114"/>
      <c r="DB14" s="114"/>
      <c r="DC14" s="114"/>
      <c r="DD14" s="114"/>
      <c r="DE14" s="114"/>
      <c r="DF14" s="114"/>
      <c r="DG14" s="114"/>
      <c r="DH14" s="114"/>
      <c r="DI14" s="114"/>
      <c r="DJ14" s="114"/>
      <c r="DK14" s="114"/>
      <c r="DL14" s="114"/>
      <c r="DM14" s="114"/>
      <c r="DN14" s="114"/>
      <c r="DO14" s="114"/>
      <c r="DP14" s="114"/>
      <c r="DQ14" s="114"/>
      <c r="DR14" s="114"/>
      <c r="DS14" s="114"/>
      <c r="DT14" s="114"/>
      <c r="DU14" s="114"/>
      <c r="DV14" s="114"/>
      <c r="DW14" s="114"/>
      <c r="DX14" s="114"/>
      <c r="DY14" s="114"/>
      <c r="DZ14" s="114"/>
      <c r="EA14" s="114"/>
      <c r="EB14" s="114"/>
      <c r="EC14" s="114"/>
      <c r="ED14" s="114"/>
      <c r="EE14" s="114"/>
      <c r="EF14" s="114"/>
      <c r="EG14" s="114"/>
      <c r="EH14" s="114"/>
      <c r="EI14" s="114"/>
      <c r="EJ14" s="114"/>
      <c r="EK14" s="114"/>
      <c r="EL14" s="114"/>
      <c r="EM14" s="114"/>
      <c r="EN14" s="114"/>
      <c r="EO14" s="114"/>
      <c r="EP14" s="114"/>
      <c r="EQ14" s="114"/>
      <c r="ER14" s="114"/>
      <c r="ES14" s="114"/>
      <c r="ET14" s="114"/>
      <c r="EU14" s="114"/>
      <c r="EV14" s="114"/>
      <c r="EW14" s="114"/>
      <c r="EX14" s="114"/>
      <c r="EY14" s="114"/>
      <c r="EZ14" s="114"/>
      <c r="FA14" s="114"/>
      <c r="FB14" s="114"/>
      <c r="FC14" s="114"/>
      <c r="FD14" s="114"/>
      <c r="FE14" s="114"/>
      <c r="FF14" s="114"/>
      <c r="FG14" s="114"/>
      <c r="FH14" s="114"/>
      <c r="FI14" s="114"/>
      <c r="FJ14" s="114"/>
      <c r="FK14" s="114"/>
      <c r="FL14" s="114"/>
      <c r="FM14" s="114"/>
      <c r="FN14" s="114"/>
      <c r="FO14" s="114"/>
      <c r="FP14" s="114"/>
      <c r="FQ14" s="114"/>
      <c r="FR14" s="114"/>
      <c r="FS14" s="114"/>
      <c r="FT14" s="114"/>
      <c r="FU14" s="114"/>
      <c r="FV14" s="114"/>
      <c r="FW14" s="114"/>
      <c r="FX14" s="114"/>
      <c r="FY14" s="114"/>
      <c r="FZ14" s="114"/>
      <c r="GA14" s="114"/>
      <c r="GB14" s="114"/>
      <c r="GC14" s="114"/>
      <c r="GD14" s="114"/>
      <c r="GE14" s="114"/>
      <c r="GF14" s="114"/>
      <c r="GG14" s="114"/>
      <c r="GH14" s="114"/>
      <c r="GI14" s="114"/>
      <c r="GJ14" s="114"/>
      <c r="GK14" s="114"/>
      <c r="GL14" s="114"/>
      <c r="GM14" s="114"/>
      <c r="GN14" s="114"/>
      <c r="GO14" s="114"/>
      <c r="GP14" s="114"/>
      <c r="GQ14" s="114"/>
      <c r="GR14" s="114"/>
      <c r="GS14" s="114"/>
      <c r="GT14" s="114"/>
      <c r="GU14" s="114"/>
      <c r="GV14" s="114"/>
      <c r="GW14" s="114"/>
      <c r="GX14" s="114"/>
      <c r="GY14" s="114"/>
      <c r="GZ14" s="114"/>
      <c r="HA14" s="114"/>
      <c r="HB14" s="114"/>
      <c r="HC14" s="114"/>
      <c r="HD14" s="114"/>
      <c r="HE14" s="114"/>
      <c r="HF14" s="114"/>
      <c r="HG14" s="114"/>
      <c r="HH14" s="114"/>
      <c r="HI14" s="114"/>
      <c r="HJ14" s="114"/>
      <c r="HK14" s="114"/>
      <c r="HL14" s="114"/>
      <c r="HM14" s="114"/>
      <c r="HN14" s="114"/>
      <c r="HO14" s="114"/>
      <c r="HP14" s="114"/>
      <c r="HQ14" s="114"/>
      <c r="HR14" s="114"/>
      <c r="HS14" s="114"/>
      <c r="HT14" s="114"/>
      <c r="HU14" s="114"/>
      <c r="HV14" s="114"/>
      <c r="HW14" s="114"/>
      <c r="HX14" s="114"/>
      <c r="HY14" s="114"/>
      <c r="HZ14" s="114"/>
      <c r="IA14" s="114"/>
      <c r="IB14" s="114"/>
      <c r="IC14" s="114"/>
      <c r="ID14" s="114"/>
      <c r="IE14" s="114"/>
      <c r="IF14" s="114"/>
      <c r="IG14" s="114"/>
      <c r="IH14" s="114"/>
      <c r="II14" s="114"/>
      <c r="IJ14" s="114"/>
      <c r="IK14" s="114"/>
      <c r="IL14" s="114"/>
      <c r="IM14" s="114"/>
      <c r="IN14" s="114"/>
      <c r="IO14" s="114"/>
      <c r="IP14" s="114"/>
      <c r="IQ14" s="114"/>
      <c r="IR14" s="114"/>
      <c r="IS14" s="114"/>
      <c r="IT14" s="114"/>
    </row>
    <row r="15" spans="1:254" s="117" customFormat="1" ht="14.1" customHeight="1" x14ac:dyDescent="0.2">
      <c r="A15" s="118" t="s">
        <v>57</v>
      </c>
      <c r="B15" s="112" t="s">
        <v>58</v>
      </c>
      <c r="C15" s="119" t="s">
        <v>59</v>
      </c>
      <c r="D15" s="114"/>
      <c r="E15" s="114">
        <f t="shared" ref="E15:E17" si="2">+D15</f>
        <v>0</v>
      </c>
      <c r="F15" s="114">
        <f>7.09+7.09+6.69+7.09</f>
        <v>27.96</v>
      </c>
      <c r="G15" s="114">
        <f t="shared" ref="G15:G17" si="3">IF(J15&gt;0,0,F15)</f>
        <v>27.96</v>
      </c>
      <c r="H15" s="114">
        <f t="shared" ref="H15:H17" si="4">+D15</f>
        <v>0</v>
      </c>
      <c r="I15" s="114"/>
      <c r="J15" s="115"/>
      <c r="K15" s="116">
        <v>6879</v>
      </c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4"/>
      <c r="CL15" s="114"/>
      <c r="CM15" s="114"/>
      <c r="CN15" s="114"/>
      <c r="CO15" s="114"/>
      <c r="CP15" s="114"/>
      <c r="CQ15" s="114"/>
      <c r="CR15" s="114"/>
      <c r="CS15" s="114"/>
      <c r="CT15" s="114"/>
      <c r="CU15" s="114"/>
      <c r="CV15" s="114"/>
      <c r="CW15" s="114"/>
      <c r="CX15" s="114"/>
      <c r="CY15" s="114"/>
      <c r="CZ15" s="114"/>
      <c r="DA15" s="114"/>
      <c r="DB15" s="114"/>
      <c r="DC15" s="114"/>
      <c r="DD15" s="114"/>
      <c r="DE15" s="114"/>
      <c r="DF15" s="114"/>
      <c r="DG15" s="114"/>
      <c r="DH15" s="114"/>
      <c r="DI15" s="114"/>
      <c r="DJ15" s="114"/>
      <c r="DK15" s="114"/>
      <c r="DL15" s="114"/>
      <c r="DM15" s="114"/>
      <c r="DN15" s="114"/>
      <c r="DO15" s="114"/>
      <c r="DP15" s="114"/>
      <c r="DQ15" s="114"/>
      <c r="DR15" s="114"/>
      <c r="DS15" s="114"/>
      <c r="DT15" s="114"/>
      <c r="DU15" s="114"/>
      <c r="DV15" s="114"/>
      <c r="DW15" s="114"/>
      <c r="DX15" s="114"/>
      <c r="DY15" s="114"/>
      <c r="DZ15" s="114"/>
      <c r="EA15" s="114"/>
      <c r="EB15" s="114"/>
      <c r="EC15" s="114"/>
      <c r="ED15" s="114"/>
      <c r="EE15" s="114"/>
      <c r="EF15" s="114"/>
      <c r="EG15" s="114"/>
      <c r="EH15" s="114"/>
      <c r="EI15" s="114"/>
      <c r="EJ15" s="114"/>
      <c r="EK15" s="114"/>
      <c r="EL15" s="114"/>
      <c r="EM15" s="114"/>
      <c r="EN15" s="114"/>
      <c r="EO15" s="114"/>
      <c r="EP15" s="114"/>
      <c r="EQ15" s="114"/>
      <c r="ER15" s="114"/>
      <c r="ES15" s="114"/>
      <c r="ET15" s="114"/>
      <c r="EU15" s="114"/>
      <c r="EV15" s="114"/>
      <c r="EW15" s="114"/>
      <c r="EX15" s="114"/>
      <c r="EY15" s="114"/>
      <c r="EZ15" s="114"/>
      <c r="FA15" s="114"/>
      <c r="FB15" s="114"/>
      <c r="FC15" s="114"/>
      <c r="FD15" s="114"/>
      <c r="FE15" s="114"/>
      <c r="FF15" s="114"/>
      <c r="FG15" s="114"/>
      <c r="FH15" s="114"/>
      <c r="FI15" s="114"/>
      <c r="FJ15" s="114"/>
      <c r="FK15" s="114"/>
      <c r="FL15" s="114"/>
      <c r="FM15" s="114"/>
      <c r="FN15" s="114"/>
      <c r="FO15" s="114"/>
      <c r="FP15" s="114"/>
      <c r="FQ15" s="114"/>
      <c r="FR15" s="114"/>
      <c r="FS15" s="114"/>
      <c r="FT15" s="114"/>
      <c r="FU15" s="114"/>
      <c r="FV15" s="114"/>
      <c r="FW15" s="114"/>
      <c r="FX15" s="114"/>
      <c r="FY15" s="114"/>
      <c r="FZ15" s="114"/>
      <c r="GA15" s="114"/>
      <c r="GB15" s="114"/>
      <c r="GC15" s="114"/>
      <c r="GD15" s="114"/>
      <c r="GE15" s="114"/>
      <c r="GF15" s="114"/>
      <c r="GG15" s="114"/>
      <c r="GH15" s="114"/>
      <c r="GI15" s="114"/>
      <c r="GJ15" s="114"/>
      <c r="GK15" s="114"/>
      <c r="GL15" s="114"/>
      <c r="GM15" s="114"/>
      <c r="GN15" s="114"/>
      <c r="GO15" s="114"/>
      <c r="GP15" s="114"/>
      <c r="GQ15" s="114"/>
      <c r="GR15" s="114"/>
      <c r="GS15" s="114"/>
      <c r="GT15" s="114"/>
      <c r="GU15" s="114"/>
      <c r="GV15" s="114"/>
      <c r="GW15" s="114"/>
      <c r="GX15" s="114"/>
      <c r="GY15" s="114"/>
      <c r="GZ15" s="114"/>
      <c r="HA15" s="114"/>
      <c r="HB15" s="114"/>
      <c r="HC15" s="114"/>
      <c r="HD15" s="114"/>
      <c r="HE15" s="114"/>
      <c r="HF15" s="114"/>
      <c r="HG15" s="114"/>
      <c r="HH15" s="114"/>
      <c r="HI15" s="114"/>
      <c r="HJ15" s="114"/>
      <c r="HK15" s="114"/>
      <c r="HL15" s="114"/>
      <c r="HM15" s="114"/>
      <c r="HN15" s="114"/>
      <c r="HO15" s="114"/>
      <c r="HP15" s="114"/>
      <c r="HQ15" s="114"/>
      <c r="HR15" s="114"/>
      <c r="HS15" s="114"/>
      <c r="HT15" s="114"/>
      <c r="HU15" s="114"/>
      <c r="HV15" s="114"/>
      <c r="HW15" s="114"/>
      <c r="HX15" s="114"/>
      <c r="HY15" s="114"/>
      <c r="HZ15" s="114"/>
      <c r="IA15" s="114"/>
      <c r="IB15" s="114"/>
      <c r="IC15" s="114"/>
      <c r="ID15" s="114"/>
      <c r="IE15" s="114"/>
      <c r="IF15" s="114"/>
      <c r="IG15" s="114"/>
      <c r="IH15" s="114"/>
      <c r="II15" s="114"/>
      <c r="IJ15" s="114"/>
      <c r="IK15" s="114"/>
      <c r="IL15" s="114"/>
      <c r="IM15" s="114"/>
      <c r="IN15" s="114"/>
      <c r="IO15" s="114"/>
      <c r="IP15" s="114"/>
      <c r="IQ15" s="114"/>
      <c r="IR15" s="114"/>
      <c r="IS15" s="114"/>
      <c r="IT15" s="114"/>
    </row>
    <row r="16" spans="1:254" s="117" customFormat="1" ht="14.1" customHeight="1" x14ac:dyDescent="0.2">
      <c r="A16" s="118"/>
      <c r="B16" s="112"/>
      <c r="C16" s="113"/>
      <c r="D16" s="114"/>
      <c r="E16" s="114">
        <f t="shared" si="2"/>
        <v>0</v>
      </c>
      <c r="F16" s="114"/>
      <c r="G16" s="114">
        <f t="shared" si="3"/>
        <v>0</v>
      </c>
      <c r="H16" s="114">
        <f t="shared" si="4"/>
        <v>0</v>
      </c>
      <c r="I16" s="114"/>
      <c r="J16" s="115"/>
      <c r="K16" s="116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K16" s="114"/>
      <c r="BL16" s="114"/>
      <c r="BM16" s="114"/>
      <c r="BN16" s="114"/>
      <c r="BO16" s="114"/>
      <c r="BP16" s="114"/>
      <c r="BQ16" s="114"/>
      <c r="BR16" s="114"/>
      <c r="BS16" s="114"/>
      <c r="BT16" s="114"/>
      <c r="BU16" s="114"/>
      <c r="BV16" s="114"/>
      <c r="BW16" s="114"/>
      <c r="BX16" s="114"/>
      <c r="BY16" s="114"/>
      <c r="BZ16" s="114"/>
      <c r="CA16" s="114"/>
      <c r="CB16" s="114"/>
      <c r="CC16" s="114"/>
      <c r="CD16" s="114"/>
      <c r="CE16" s="114"/>
      <c r="CF16" s="114"/>
      <c r="CG16" s="114"/>
      <c r="CH16" s="114"/>
      <c r="CI16" s="114"/>
      <c r="CJ16" s="114"/>
      <c r="CK16" s="114"/>
      <c r="CL16" s="114"/>
      <c r="CM16" s="114"/>
      <c r="CN16" s="114"/>
      <c r="CO16" s="114"/>
      <c r="CP16" s="114"/>
      <c r="CQ16" s="114"/>
      <c r="CR16" s="114"/>
      <c r="CS16" s="114"/>
      <c r="CT16" s="114"/>
      <c r="CU16" s="114"/>
      <c r="CV16" s="114"/>
      <c r="CW16" s="114"/>
      <c r="CX16" s="114"/>
      <c r="CY16" s="114"/>
      <c r="CZ16" s="114"/>
      <c r="DA16" s="114"/>
      <c r="DB16" s="114"/>
      <c r="DC16" s="114"/>
      <c r="DD16" s="114"/>
      <c r="DE16" s="114"/>
      <c r="DF16" s="114"/>
      <c r="DG16" s="114"/>
      <c r="DH16" s="114"/>
      <c r="DI16" s="114"/>
      <c r="DJ16" s="114"/>
      <c r="DK16" s="114"/>
      <c r="DL16" s="114"/>
      <c r="DM16" s="114"/>
      <c r="DN16" s="114"/>
      <c r="DO16" s="114"/>
      <c r="DP16" s="114"/>
      <c r="DQ16" s="114"/>
      <c r="DR16" s="114"/>
      <c r="DS16" s="114"/>
      <c r="DT16" s="114"/>
      <c r="DU16" s="114"/>
      <c r="DV16" s="114"/>
      <c r="DW16" s="114"/>
      <c r="DX16" s="114"/>
      <c r="DY16" s="114"/>
      <c r="DZ16" s="114"/>
      <c r="EA16" s="114"/>
      <c r="EB16" s="114"/>
      <c r="EC16" s="114"/>
      <c r="ED16" s="114"/>
      <c r="EE16" s="114"/>
      <c r="EF16" s="114"/>
      <c r="EG16" s="114"/>
      <c r="EH16" s="114"/>
      <c r="EI16" s="114"/>
      <c r="EJ16" s="114"/>
      <c r="EK16" s="114"/>
      <c r="EL16" s="114"/>
      <c r="EM16" s="114"/>
      <c r="EN16" s="114"/>
      <c r="EO16" s="114"/>
      <c r="EP16" s="114"/>
      <c r="EQ16" s="114"/>
      <c r="ER16" s="114"/>
      <c r="ES16" s="114"/>
      <c r="ET16" s="114"/>
      <c r="EU16" s="114"/>
      <c r="EV16" s="114"/>
      <c r="EW16" s="114"/>
      <c r="EX16" s="114"/>
      <c r="EY16" s="114"/>
      <c r="EZ16" s="114"/>
      <c r="FA16" s="114"/>
      <c r="FB16" s="114"/>
      <c r="FC16" s="114"/>
      <c r="FD16" s="114"/>
      <c r="FE16" s="114"/>
      <c r="FF16" s="114"/>
      <c r="FG16" s="114"/>
      <c r="FH16" s="114"/>
      <c r="FI16" s="114"/>
      <c r="FJ16" s="114"/>
      <c r="FK16" s="114"/>
      <c r="FL16" s="114"/>
      <c r="FM16" s="114"/>
      <c r="FN16" s="114"/>
      <c r="FO16" s="114"/>
      <c r="FP16" s="114"/>
      <c r="FQ16" s="114"/>
      <c r="FR16" s="114"/>
      <c r="FS16" s="114"/>
      <c r="FT16" s="114"/>
      <c r="FU16" s="114"/>
      <c r="FV16" s="114"/>
      <c r="FW16" s="114"/>
      <c r="FX16" s="114"/>
      <c r="FY16" s="114"/>
      <c r="FZ16" s="114"/>
      <c r="GA16" s="114"/>
      <c r="GB16" s="114"/>
      <c r="GC16" s="114"/>
      <c r="GD16" s="114"/>
      <c r="GE16" s="114"/>
      <c r="GF16" s="114"/>
      <c r="GG16" s="114"/>
      <c r="GH16" s="114"/>
      <c r="GI16" s="114"/>
      <c r="GJ16" s="114"/>
      <c r="GK16" s="114"/>
      <c r="GL16" s="114"/>
      <c r="GM16" s="114"/>
      <c r="GN16" s="114"/>
      <c r="GO16" s="114"/>
      <c r="GP16" s="114"/>
      <c r="GQ16" s="114"/>
      <c r="GR16" s="114"/>
      <c r="GS16" s="114"/>
      <c r="GT16" s="114"/>
      <c r="GU16" s="114"/>
      <c r="GV16" s="114"/>
      <c r="GW16" s="114"/>
      <c r="GX16" s="114"/>
      <c r="GY16" s="114"/>
      <c r="GZ16" s="114"/>
      <c r="HA16" s="114"/>
      <c r="HB16" s="114"/>
      <c r="HC16" s="114"/>
      <c r="HD16" s="114"/>
      <c r="HE16" s="114"/>
      <c r="HF16" s="114"/>
      <c r="HG16" s="114"/>
      <c r="HH16" s="114"/>
      <c r="HI16" s="114"/>
      <c r="HJ16" s="114"/>
      <c r="HK16" s="114"/>
      <c r="HL16" s="114"/>
      <c r="HM16" s="114"/>
      <c r="HN16" s="114"/>
      <c r="HO16" s="114"/>
      <c r="HP16" s="114"/>
      <c r="HQ16" s="114"/>
      <c r="HR16" s="114"/>
      <c r="HS16" s="114"/>
      <c r="HT16" s="114"/>
      <c r="HU16" s="114"/>
      <c r="HV16" s="114"/>
      <c r="HW16" s="114"/>
      <c r="HX16" s="114"/>
      <c r="HY16" s="114"/>
      <c r="HZ16" s="114"/>
      <c r="IA16" s="114"/>
      <c r="IB16" s="114"/>
      <c r="IC16" s="114"/>
      <c r="ID16" s="114"/>
      <c r="IE16" s="114"/>
      <c r="IF16" s="114"/>
      <c r="IG16" s="114"/>
      <c r="IH16" s="114"/>
      <c r="II16" s="114"/>
      <c r="IJ16" s="114"/>
      <c r="IK16" s="114"/>
      <c r="IL16" s="114"/>
      <c r="IM16" s="114"/>
      <c r="IN16" s="114"/>
      <c r="IO16" s="114"/>
      <c r="IP16" s="114"/>
      <c r="IQ16" s="114"/>
      <c r="IR16" s="114"/>
      <c r="IS16" s="114"/>
      <c r="IT16" s="114"/>
    </row>
    <row r="17" spans="1:254" s="117" customFormat="1" ht="14.1" customHeight="1" x14ac:dyDescent="0.2">
      <c r="A17" s="118"/>
      <c r="B17" s="112"/>
      <c r="C17" s="113"/>
      <c r="D17" s="114"/>
      <c r="E17" s="114">
        <f t="shared" si="2"/>
        <v>0</v>
      </c>
      <c r="F17" s="114"/>
      <c r="G17" s="114">
        <f t="shared" si="3"/>
        <v>0</v>
      </c>
      <c r="H17" s="114">
        <f t="shared" si="4"/>
        <v>0</v>
      </c>
      <c r="I17" s="114"/>
      <c r="J17" s="115"/>
      <c r="K17" s="116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4"/>
      <c r="BZ17" s="114"/>
      <c r="CA17" s="114"/>
      <c r="CB17" s="114"/>
      <c r="CC17" s="114"/>
      <c r="CD17" s="114"/>
      <c r="CE17" s="114"/>
      <c r="CF17" s="114"/>
      <c r="CG17" s="114"/>
      <c r="CH17" s="114"/>
      <c r="CI17" s="114"/>
      <c r="CJ17" s="114"/>
      <c r="CK17" s="114"/>
      <c r="CL17" s="114"/>
      <c r="CM17" s="114"/>
      <c r="CN17" s="114"/>
      <c r="CO17" s="114"/>
      <c r="CP17" s="114"/>
      <c r="CQ17" s="114"/>
      <c r="CR17" s="114"/>
      <c r="CS17" s="114"/>
      <c r="CT17" s="114"/>
      <c r="CU17" s="114"/>
      <c r="CV17" s="114"/>
      <c r="CW17" s="114"/>
      <c r="CX17" s="114"/>
      <c r="CY17" s="114"/>
      <c r="CZ17" s="114"/>
      <c r="DA17" s="114"/>
      <c r="DB17" s="114"/>
      <c r="DC17" s="114"/>
      <c r="DD17" s="114"/>
      <c r="DE17" s="114"/>
      <c r="DF17" s="114"/>
      <c r="DG17" s="114"/>
      <c r="DH17" s="114"/>
      <c r="DI17" s="114"/>
      <c r="DJ17" s="114"/>
      <c r="DK17" s="114"/>
      <c r="DL17" s="114"/>
      <c r="DM17" s="114"/>
      <c r="DN17" s="114"/>
      <c r="DO17" s="114"/>
      <c r="DP17" s="114"/>
      <c r="DQ17" s="114"/>
      <c r="DR17" s="114"/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4"/>
      <c r="GU17" s="114"/>
      <c r="GV17" s="114"/>
      <c r="GW17" s="114"/>
      <c r="GX17" s="114"/>
      <c r="GY17" s="114"/>
      <c r="GZ17" s="114"/>
      <c r="HA17" s="114"/>
      <c r="HB17" s="114"/>
      <c r="HC17" s="114"/>
      <c r="HD17" s="114"/>
      <c r="HE17" s="114"/>
      <c r="HF17" s="114"/>
      <c r="HG17" s="114"/>
      <c r="HH17" s="114"/>
      <c r="HI17" s="114"/>
      <c r="HJ17" s="114"/>
      <c r="HK17" s="114"/>
      <c r="HL17" s="114"/>
      <c r="HM17" s="114"/>
      <c r="HN17" s="114"/>
      <c r="HO17" s="114"/>
      <c r="HP17" s="114"/>
      <c r="HQ17" s="114"/>
      <c r="HR17" s="114"/>
      <c r="HS17" s="114"/>
      <c r="HT17" s="114"/>
      <c r="HU17" s="114"/>
      <c r="HV17" s="114"/>
      <c r="HW17" s="114"/>
      <c r="HX17" s="114"/>
      <c r="HY17" s="114"/>
      <c r="HZ17" s="114"/>
      <c r="IA17" s="114"/>
      <c r="IB17" s="114"/>
      <c r="IC17" s="114"/>
      <c r="ID17" s="114"/>
      <c r="IE17" s="114"/>
      <c r="IF17" s="114"/>
      <c r="IG17" s="114"/>
      <c r="IH17" s="114"/>
      <c r="II17" s="114"/>
      <c r="IJ17" s="114"/>
      <c r="IK17" s="114"/>
      <c r="IL17" s="114"/>
      <c r="IM17" s="114"/>
      <c r="IN17" s="114"/>
      <c r="IO17" s="114"/>
      <c r="IP17" s="114"/>
      <c r="IQ17" s="114"/>
      <c r="IR17" s="114"/>
      <c r="IS17" s="114"/>
      <c r="IT17" s="114"/>
    </row>
    <row r="18" spans="1:254" s="117" customFormat="1" ht="14.1" customHeight="1" x14ac:dyDescent="0.2">
      <c r="A18" s="118"/>
      <c r="B18" s="112"/>
      <c r="C18" s="113" t="s">
        <v>49</v>
      </c>
      <c r="D18" s="114"/>
      <c r="E18" s="114">
        <f t="shared" ref="E18:E23" si="5">+D18</f>
        <v>0</v>
      </c>
      <c r="F18" s="114"/>
      <c r="G18" s="114">
        <f t="shared" si="0"/>
        <v>0</v>
      </c>
      <c r="H18" s="114">
        <f t="shared" si="1"/>
        <v>0</v>
      </c>
      <c r="I18" s="114"/>
      <c r="J18" s="115"/>
      <c r="K18" s="116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4"/>
      <c r="CE18" s="114"/>
      <c r="CF18" s="114"/>
      <c r="CG18" s="114"/>
      <c r="CH18" s="114"/>
      <c r="CI18" s="114"/>
      <c r="CJ18" s="114"/>
      <c r="CK18" s="114"/>
      <c r="CL18" s="114"/>
      <c r="CM18" s="114"/>
      <c r="CN18" s="114"/>
      <c r="CO18" s="114"/>
      <c r="CP18" s="114"/>
      <c r="CQ18" s="114"/>
      <c r="CR18" s="114"/>
      <c r="CS18" s="114"/>
      <c r="CT18" s="114"/>
      <c r="CU18" s="114"/>
      <c r="CV18" s="114"/>
      <c r="CW18" s="114"/>
      <c r="CX18" s="114"/>
      <c r="CY18" s="114"/>
      <c r="CZ18" s="114"/>
      <c r="DA18" s="114"/>
      <c r="DB18" s="114"/>
      <c r="DC18" s="114"/>
      <c r="DD18" s="114"/>
      <c r="DE18" s="114"/>
      <c r="DF18" s="114"/>
      <c r="DG18" s="114"/>
      <c r="DH18" s="114"/>
      <c r="DI18" s="114"/>
      <c r="DJ18" s="114"/>
      <c r="DK18" s="114"/>
      <c r="DL18" s="114"/>
      <c r="DM18" s="114"/>
      <c r="DN18" s="114"/>
      <c r="DO18" s="114"/>
      <c r="DP18" s="114"/>
      <c r="DQ18" s="114"/>
      <c r="DR18" s="114"/>
      <c r="DS18" s="114"/>
      <c r="DT18" s="114"/>
      <c r="DU18" s="114"/>
      <c r="DV18" s="114"/>
      <c r="DW18" s="114"/>
      <c r="DX18" s="114"/>
      <c r="DY18" s="114"/>
      <c r="DZ18" s="114"/>
      <c r="EA18" s="114"/>
      <c r="EB18" s="114"/>
      <c r="EC18" s="114"/>
      <c r="ED18" s="114"/>
      <c r="EE18" s="114"/>
      <c r="EF18" s="114"/>
      <c r="EG18" s="114"/>
      <c r="EH18" s="114"/>
      <c r="EI18" s="114"/>
      <c r="EJ18" s="114"/>
      <c r="EK18" s="114"/>
      <c r="EL18" s="114"/>
      <c r="EM18" s="114"/>
      <c r="EN18" s="114"/>
      <c r="EO18" s="114"/>
      <c r="EP18" s="114"/>
      <c r="EQ18" s="114"/>
      <c r="ER18" s="114"/>
      <c r="ES18" s="114"/>
      <c r="ET18" s="114"/>
      <c r="EU18" s="114"/>
      <c r="EV18" s="114"/>
      <c r="EW18" s="114"/>
      <c r="EX18" s="114"/>
      <c r="EY18" s="114"/>
      <c r="EZ18" s="114"/>
      <c r="FA18" s="114"/>
      <c r="FB18" s="114"/>
      <c r="FC18" s="114"/>
      <c r="FD18" s="114"/>
      <c r="FE18" s="114"/>
      <c r="FF18" s="114"/>
      <c r="FG18" s="114"/>
      <c r="FH18" s="114"/>
      <c r="FI18" s="114"/>
      <c r="FJ18" s="114"/>
      <c r="FK18" s="114"/>
      <c r="FL18" s="114"/>
      <c r="FM18" s="114"/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  <c r="GK18" s="114"/>
      <c r="GL18" s="114"/>
      <c r="GM18" s="114"/>
      <c r="GN18" s="114"/>
      <c r="GO18" s="114"/>
      <c r="GP18" s="114"/>
      <c r="GQ18" s="114"/>
      <c r="GR18" s="114"/>
      <c r="GS18" s="114"/>
      <c r="GT18" s="114"/>
      <c r="GU18" s="114"/>
      <c r="GV18" s="114"/>
      <c r="GW18" s="114"/>
      <c r="GX18" s="114"/>
      <c r="GY18" s="114"/>
      <c r="GZ18" s="114"/>
      <c r="HA18" s="114"/>
      <c r="HB18" s="114"/>
      <c r="HC18" s="114"/>
      <c r="HD18" s="114"/>
      <c r="HE18" s="114"/>
      <c r="HF18" s="114"/>
      <c r="HG18" s="114"/>
      <c r="HH18" s="114"/>
      <c r="HI18" s="114"/>
      <c r="HJ18" s="114"/>
      <c r="HK18" s="114"/>
      <c r="HL18" s="114"/>
      <c r="HM18" s="114"/>
      <c r="HN18" s="114"/>
      <c r="HO18" s="114"/>
      <c r="HP18" s="114"/>
      <c r="HQ18" s="114"/>
      <c r="HR18" s="114"/>
      <c r="HS18" s="114"/>
      <c r="HT18" s="114"/>
      <c r="HU18" s="114"/>
      <c r="HV18" s="114"/>
      <c r="HW18" s="114"/>
      <c r="HX18" s="114"/>
      <c r="HY18" s="114"/>
      <c r="HZ18" s="114"/>
      <c r="IA18" s="114"/>
      <c r="IB18" s="114"/>
      <c r="IC18" s="114"/>
      <c r="ID18" s="114"/>
      <c r="IE18" s="114"/>
      <c r="IF18" s="114"/>
      <c r="IG18" s="114"/>
      <c r="IH18" s="114"/>
      <c r="II18" s="114"/>
      <c r="IJ18" s="114"/>
      <c r="IK18" s="114"/>
      <c r="IL18" s="114"/>
      <c r="IM18" s="114"/>
      <c r="IN18" s="114"/>
      <c r="IO18" s="114"/>
      <c r="IP18" s="114"/>
      <c r="IQ18" s="114"/>
      <c r="IR18" s="114"/>
      <c r="IS18" s="114"/>
      <c r="IT18" s="114"/>
    </row>
    <row r="19" spans="1:254" s="117" customFormat="1" ht="14.1" customHeight="1" x14ac:dyDescent="0.2">
      <c r="A19" s="111" t="s">
        <v>60</v>
      </c>
      <c r="B19" s="120"/>
      <c r="C19" s="113" t="s">
        <v>49</v>
      </c>
      <c r="D19" s="114"/>
      <c r="E19" s="114">
        <f t="shared" si="5"/>
        <v>0</v>
      </c>
      <c r="F19" s="114"/>
      <c r="G19" s="114">
        <f t="shared" si="0"/>
        <v>0</v>
      </c>
      <c r="H19" s="114">
        <f t="shared" si="1"/>
        <v>0</v>
      </c>
      <c r="I19" s="114"/>
      <c r="J19" s="115"/>
      <c r="K19" s="116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4"/>
      <c r="BO19" s="114"/>
      <c r="BP19" s="114"/>
      <c r="BQ19" s="114"/>
      <c r="BR19" s="114"/>
      <c r="BS19" s="114"/>
      <c r="BT19" s="114"/>
      <c r="BU19" s="114"/>
      <c r="BV19" s="114"/>
      <c r="BW19" s="114"/>
      <c r="BX19" s="114"/>
      <c r="BY19" s="114"/>
      <c r="BZ19" s="114"/>
      <c r="CA19" s="114"/>
      <c r="CB19" s="114"/>
      <c r="CC19" s="114"/>
      <c r="CD19" s="114"/>
      <c r="CE19" s="114"/>
      <c r="CF19" s="114"/>
      <c r="CG19" s="114"/>
      <c r="CH19" s="114"/>
      <c r="CI19" s="114"/>
      <c r="CJ19" s="114"/>
      <c r="CK19" s="114"/>
      <c r="CL19" s="114"/>
      <c r="CM19" s="114"/>
      <c r="CN19" s="114"/>
      <c r="CO19" s="114"/>
      <c r="CP19" s="114"/>
      <c r="CQ19" s="114"/>
      <c r="CR19" s="114"/>
      <c r="CS19" s="114"/>
      <c r="CT19" s="114"/>
      <c r="CU19" s="114"/>
      <c r="CV19" s="114"/>
      <c r="CW19" s="114"/>
      <c r="CX19" s="114"/>
      <c r="CY19" s="114"/>
      <c r="CZ19" s="114"/>
      <c r="DA19" s="114"/>
      <c r="DB19" s="114"/>
      <c r="DC19" s="114"/>
      <c r="DD19" s="114"/>
      <c r="DE19" s="114"/>
      <c r="DF19" s="114"/>
      <c r="DG19" s="114"/>
      <c r="DH19" s="114"/>
      <c r="DI19" s="114"/>
      <c r="DJ19" s="114"/>
      <c r="DK19" s="114"/>
      <c r="DL19" s="114"/>
      <c r="DM19" s="114"/>
      <c r="DN19" s="114"/>
      <c r="DO19" s="114"/>
      <c r="DP19" s="114"/>
      <c r="DQ19" s="114"/>
      <c r="DR19" s="114"/>
      <c r="DS19" s="114"/>
      <c r="DT19" s="114"/>
      <c r="DU19" s="114"/>
      <c r="DV19" s="114"/>
      <c r="DW19" s="114"/>
      <c r="DX19" s="114"/>
      <c r="DY19" s="114"/>
      <c r="DZ19" s="114"/>
      <c r="EA19" s="114"/>
      <c r="EB19" s="114"/>
      <c r="EC19" s="114"/>
      <c r="ED19" s="114"/>
      <c r="EE19" s="114"/>
      <c r="EF19" s="114"/>
      <c r="EG19" s="114"/>
      <c r="EH19" s="114"/>
      <c r="EI19" s="114"/>
      <c r="EJ19" s="114"/>
      <c r="EK19" s="114"/>
      <c r="EL19" s="114"/>
      <c r="EM19" s="114"/>
      <c r="EN19" s="114"/>
      <c r="EO19" s="114"/>
      <c r="EP19" s="114"/>
      <c r="EQ19" s="114"/>
      <c r="ER19" s="114"/>
      <c r="ES19" s="114"/>
      <c r="ET19" s="114"/>
      <c r="EU19" s="114"/>
      <c r="EV19" s="114"/>
      <c r="EW19" s="114"/>
      <c r="EX19" s="114"/>
      <c r="EY19" s="114"/>
      <c r="EZ19" s="114"/>
      <c r="FA19" s="114"/>
      <c r="FB19" s="114"/>
      <c r="FC19" s="114"/>
      <c r="FD19" s="114"/>
      <c r="FE19" s="114"/>
      <c r="FF19" s="114"/>
      <c r="FG19" s="114"/>
      <c r="FH19" s="114"/>
      <c r="FI19" s="114"/>
      <c r="FJ19" s="114"/>
      <c r="FK19" s="114"/>
      <c r="FL19" s="114"/>
      <c r="FM19" s="114"/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  <c r="GK19" s="114"/>
      <c r="GL19" s="114"/>
      <c r="GM19" s="114"/>
      <c r="GN19" s="114"/>
      <c r="GO19" s="114"/>
      <c r="GP19" s="114"/>
      <c r="GQ19" s="114"/>
      <c r="GR19" s="114"/>
      <c r="GS19" s="114"/>
      <c r="GT19" s="114"/>
      <c r="GU19" s="114"/>
      <c r="GV19" s="114"/>
      <c r="GW19" s="114"/>
      <c r="GX19" s="114"/>
      <c r="GY19" s="114"/>
      <c r="GZ19" s="114"/>
      <c r="HA19" s="114"/>
      <c r="HB19" s="114"/>
      <c r="HC19" s="114"/>
      <c r="HD19" s="114"/>
      <c r="HE19" s="114"/>
      <c r="HF19" s="114"/>
      <c r="HG19" s="114"/>
      <c r="HH19" s="114"/>
      <c r="HI19" s="114"/>
      <c r="HJ19" s="114"/>
      <c r="HK19" s="114"/>
      <c r="HL19" s="114"/>
      <c r="HM19" s="114"/>
      <c r="HN19" s="114"/>
      <c r="HO19" s="114"/>
      <c r="HP19" s="114"/>
      <c r="HQ19" s="114"/>
      <c r="HR19" s="114"/>
      <c r="HS19" s="114"/>
      <c r="HT19" s="114"/>
      <c r="HU19" s="114"/>
      <c r="HV19" s="114"/>
      <c r="HW19" s="114"/>
      <c r="HX19" s="114"/>
      <c r="HY19" s="114"/>
      <c r="HZ19" s="114"/>
      <c r="IA19" s="114"/>
      <c r="IB19" s="114"/>
      <c r="IC19" s="114"/>
      <c r="ID19" s="114"/>
      <c r="IE19" s="114"/>
      <c r="IF19" s="114"/>
      <c r="IG19" s="114"/>
      <c r="IH19" s="114"/>
      <c r="II19" s="114"/>
      <c r="IJ19" s="114"/>
      <c r="IK19" s="114"/>
      <c r="IL19" s="114"/>
      <c r="IM19" s="114"/>
      <c r="IN19" s="114"/>
      <c r="IO19" s="114"/>
      <c r="IP19" s="114"/>
      <c r="IQ19" s="114"/>
      <c r="IR19" s="114"/>
      <c r="IS19" s="114"/>
      <c r="IT19" s="114"/>
    </row>
    <row r="20" spans="1:254" s="117" customFormat="1" ht="14.1" customHeight="1" x14ac:dyDescent="0.2">
      <c r="A20" s="118">
        <v>43313</v>
      </c>
      <c r="B20" s="112" t="s">
        <v>65</v>
      </c>
      <c r="C20" s="119" t="s">
        <v>81</v>
      </c>
      <c r="D20" s="114">
        <v>23000000</v>
      </c>
      <c r="E20" s="114">
        <f t="shared" si="5"/>
        <v>23000000</v>
      </c>
      <c r="F20" s="114"/>
      <c r="G20" s="114">
        <f t="shared" ref="G20:G35" si="6">IF(J20&gt;0,0,F20)</f>
        <v>0</v>
      </c>
      <c r="H20" s="114">
        <f t="shared" ref="H20:H35" si="7">+D20</f>
        <v>23000000</v>
      </c>
      <c r="I20" s="114"/>
      <c r="J20" s="115"/>
      <c r="K20" s="116">
        <v>4667</v>
      </c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114"/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4"/>
      <c r="CT20" s="114"/>
      <c r="CU20" s="114"/>
      <c r="CV20" s="114"/>
      <c r="CW20" s="114"/>
      <c r="CX20" s="114"/>
      <c r="CY20" s="114"/>
      <c r="CZ20" s="114"/>
      <c r="DA20" s="114"/>
      <c r="DB20" s="114"/>
      <c r="DC20" s="114"/>
      <c r="DD20" s="114"/>
      <c r="DE20" s="114"/>
      <c r="DF20" s="114"/>
      <c r="DG20" s="114"/>
      <c r="DH20" s="114"/>
      <c r="DI20" s="114"/>
      <c r="DJ20" s="114"/>
      <c r="DK20" s="114"/>
      <c r="DL20" s="114"/>
      <c r="DM20" s="114"/>
      <c r="DN20" s="114"/>
      <c r="DO20" s="114"/>
      <c r="DP20" s="114"/>
      <c r="DQ20" s="114"/>
      <c r="DR20" s="114"/>
      <c r="DS20" s="114"/>
      <c r="DT20" s="114"/>
      <c r="DU20" s="114"/>
      <c r="DV20" s="114"/>
      <c r="DW20" s="114"/>
      <c r="DX20" s="114"/>
      <c r="DY20" s="114"/>
      <c r="DZ20" s="114"/>
      <c r="EA20" s="114"/>
      <c r="EB20" s="114"/>
      <c r="EC20" s="114"/>
      <c r="ED20" s="114"/>
      <c r="EE20" s="114"/>
      <c r="EF20" s="114"/>
      <c r="EG20" s="114"/>
      <c r="EH20" s="114"/>
      <c r="EI20" s="114"/>
      <c r="EJ20" s="114"/>
      <c r="EK20" s="114"/>
      <c r="EL20" s="114"/>
      <c r="EM20" s="114"/>
      <c r="EN20" s="114"/>
      <c r="EO20" s="114"/>
      <c r="EP20" s="114"/>
      <c r="EQ20" s="114"/>
      <c r="ER20" s="114"/>
      <c r="ES20" s="114"/>
      <c r="ET20" s="114"/>
      <c r="EU20" s="114"/>
      <c r="EV20" s="114"/>
      <c r="EW20" s="114"/>
      <c r="EX20" s="114"/>
      <c r="EY20" s="114"/>
      <c r="EZ20" s="114"/>
      <c r="FA20" s="114"/>
      <c r="FB20" s="114"/>
      <c r="FC20" s="114"/>
      <c r="FD20" s="114"/>
      <c r="FE20" s="114"/>
      <c r="FF20" s="114"/>
      <c r="FG20" s="114"/>
      <c r="FH20" s="114"/>
      <c r="FI20" s="114"/>
      <c r="FJ20" s="114"/>
      <c r="FK20" s="114"/>
      <c r="FL20" s="114"/>
      <c r="FM20" s="114"/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4"/>
      <c r="GU20" s="114"/>
      <c r="GV20" s="114"/>
      <c r="GW20" s="114"/>
      <c r="GX20" s="114"/>
      <c r="GY20" s="114"/>
      <c r="GZ20" s="114"/>
      <c r="HA20" s="114"/>
      <c r="HB20" s="114"/>
      <c r="HC20" s="114"/>
      <c r="HD20" s="114"/>
      <c r="HE20" s="114"/>
      <c r="HF20" s="114"/>
      <c r="HG20" s="114"/>
      <c r="HH20" s="114"/>
      <c r="HI20" s="114"/>
      <c r="HJ20" s="114"/>
      <c r="HK20" s="114"/>
      <c r="HL20" s="114"/>
      <c r="HM20" s="114"/>
      <c r="HN20" s="114"/>
      <c r="HO20" s="114"/>
      <c r="HP20" s="114"/>
      <c r="HQ20" s="114"/>
      <c r="HR20" s="114"/>
      <c r="HS20" s="114"/>
      <c r="HT20" s="114"/>
      <c r="HU20" s="114"/>
      <c r="HV20" s="114"/>
      <c r="HW20" s="114"/>
      <c r="HX20" s="114"/>
      <c r="HY20" s="114"/>
      <c r="HZ20" s="114"/>
      <c r="IA20" s="114"/>
      <c r="IB20" s="114"/>
      <c r="IC20" s="114"/>
      <c r="ID20" s="114"/>
      <c r="IE20" s="114"/>
      <c r="IF20" s="114"/>
      <c r="IG20" s="114"/>
      <c r="IH20" s="114"/>
      <c r="II20" s="114"/>
      <c r="IJ20" s="114"/>
      <c r="IK20" s="114"/>
      <c r="IL20" s="114"/>
      <c r="IM20" s="114"/>
      <c r="IN20" s="114"/>
      <c r="IO20" s="114"/>
      <c r="IP20" s="114"/>
      <c r="IQ20" s="114"/>
      <c r="IR20" s="114"/>
      <c r="IS20" s="114"/>
      <c r="IT20" s="114"/>
    </row>
    <row r="21" spans="1:254" s="117" customFormat="1" ht="14.1" customHeight="1" x14ac:dyDescent="0.2">
      <c r="A21" s="118">
        <f>+A20</f>
        <v>43313</v>
      </c>
      <c r="B21" s="136" t="s">
        <v>68</v>
      </c>
      <c r="C21" s="119" t="s">
        <v>81</v>
      </c>
      <c r="D21" s="114">
        <v>3000000</v>
      </c>
      <c r="E21" s="114">
        <f t="shared" si="5"/>
        <v>3000000</v>
      </c>
      <c r="F21" s="114"/>
      <c r="G21" s="114">
        <f t="shared" si="6"/>
        <v>0</v>
      </c>
      <c r="H21" s="114">
        <f t="shared" si="7"/>
        <v>3000000</v>
      </c>
      <c r="I21" s="114"/>
      <c r="J21" s="115"/>
      <c r="K21" s="116">
        <v>4761</v>
      </c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114"/>
      <c r="BP21" s="114"/>
      <c r="BQ21" s="114"/>
      <c r="BR21" s="114"/>
      <c r="BS21" s="114"/>
      <c r="BT21" s="114"/>
      <c r="BU21" s="114"/>
      <c r="BV21" s="114"/>
      <c r="BW21" s="114"/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4"/>
      <c r="CR21" s="114"/>
      <c r="CS21" s="114"/>
      <c r="CT21" s="114"/>
      <c r="CU21" s="114"/>
      <c r="CV21" s="114"/>
      <c r="CW21" s="114"/>
      <c r="CX21" s="114"/>
      <c r="CY21" s="114"/>
      <c r="CZ21" s="114"/>
      <c r="DA21" s="114"/>
      <c r="DB21" s="114"/>
      <c r="DC21" s="114"/>
      <c r="DD21" s="114"/>
      <c r="DE21" s="114"/>
      <c r="DF21" s="114"/>
      <c r="DG21" s="114"/>
      <c r="DH21" s="114"/>
      <c r="DI21" s="114"/>
      <c r="DJ21" s="114"/>
      <c r="DK21" s="114"/>
      <c r="DL21" s="114"/>
      <c r="DM21" s="114"/>
      <c r="DN21" s="114"/>
      <c r="DO21" s="114"/>
      <c r="DP21" s="114"/>
      <c r="DQ21" s="114"/>
      <c r="DR21" s="114"/>
      <c r="DS21" s="114"/>
      <c r="DT21" s="114"/>
      <c r="DU21" s="114"/>
      <c r="DV21" s="114"/>
      <c r="DW21" s="114"/>
      <c r="DX21" s="114"/>
      <c r="DY21" s="114"/>
      <c r="DZ21" s="114"/>
      <c r="EA21" s="114"/>
      <c r="EB21" s="114"/>
      <c r="EC21" s="114"/>
      <c r="ED21" s="114"/>
      <c r="EE21" s="114"/>
      <c r="EF21" s="114"/>
      <c r="EG21" s="114"/>
      <c r="EH21" s="114"/>
      <c r="EI21" s="114"/>
      <c r="EJ21" s="114"/>
      <c r="EK21" s="114"/>
      <c r="EL21" s="114"/>
      <c r="EM21" s="114"/>
      <c r="EN21" s="114"/>
      <c r="EO21" s="114"/>
      <c r="EP21" s="114"/>
      <c r="EQ21" s="114"/>
      <c r="ER21" s="114"/>
      <c r="ES21" s="114"/>
      <c r="ET21" s="114"/>
      <c r="EU21" s="114"/>
      <c r="EV21" s="114"/>
      <c r="EW21" s="114"/>
      <c r="EX21" s="114"/>
      <c r="EY21" s="114"/>
      <c r="EZ21" s="114"/>
      <c r="FA21" s="114"/>
      <c r="FB21" s="114"/>
      <c r="FC21" s="114"/>
      <c r="FD21" s="114"/>
      <c r="FE21" s="114"/>
      <c r="FF21" s="114"/>
      <c r="FG21" s="114"/>
      <c r="FH21" s="114"/>
      <c r="FI21" s="114"/>
      <c r="FJ21" s="114"/>
      <c r="FK21" s="114"/>
      <c r="FL21" s="114"/>
      <c r="FM21" s="114"/>
      <c r="FN21" s="114"/>
      <c r="FO21" s="114"/>
      <c r="FP21" s="114"/>
      <c r="FQ21" s="114"/>
      <c r="FR21" s="114"/>
      <c r="FS21" s="114"/>
      <c r="FT21" s="114"/>
      <c r="FU21" s="114"/>
      <c r="FV21" s="114"/>
      <c r="FW21" s="114"/>
      <c r="FX21" s="114"/>
      <c r="FY21" s="114"/>
      <c r="FZ21" s="114"/>
      <c r="GA21" s="114"/>
      <c r="GB21" s="114"/>
      <c r="GC21" s="114"/>
      <c r="GD21" s="114"/>
      <c r="GE21" s="114"/>
      <c r="GF21" s="114"/>
      <c r="GG21" s="114"/>
      <c r="GH21" s="114"/>
      <c r="GI21" s="114"/>
      <c r="GJ21" s="114"/>
      <c r="GK21" s="114"/>
      <c r="GL21" s="114"/>
      <c r="GM21" s="114"/>
      <c r="GN21" s="114"/>
      <c r="GO21" s="114"/>
      <c r="GP21" s="114"/>
      <c r="GQ21" s="114"/>
      <c r="GR21" s="114"/>
      <c r="GS21" s="114"/>
      <c r="GT21" s="114"/>
      <c r="GU21" s="114"/>
      <c r="GV21" s="114"/>
      <c r="GW21" s="114"/>
      <c r="GX21" s="114"/>
      <c r="GY21" s="114"/>
      <c r="GZ21" s="114"/>
      <c r="HA21" s="114"/>
      <c r="HB21" s="114"/>
      <c r="HC21" s="114"/>
      <c r="HD21" s="114"/>
      <c r="HE21" s="114"/>
      <c r="HF21" s="114"/>
      <c r="HG21" s="114"/>
      <c r="HH21" s="114"/>
      <c r="HI21" s="114"/>
      <c r="HJ21" s="114"/>
      <c r="HK21" s="114"/>
      <c r="HL21" s="114"/>
      <c r="HM21" s="114"/>
      <c r="HN21" s="114"/>
      <c r="HO21" s="114"/>
      <c r="HP21" s="114"/>
      <c r="HQ21" s="114"/>
      <c r="HR21" s="114"/>
      <c r="HS21" s="114"/>
      <c r="HT21" s="114"/>
      <c r="HU21" s="114"/>
      <c r="HV21" s="114"/>
      <c r="HW21" s="114"/>
      <c r="HX21" s="114"/>
      <c r="HY21" s="114"/>
      <c r="HZ21" s="114"/>
      <c r="IA21" s="114"/>
      <c r="IB21" s="114"/>
      <c r="IC21" s="114"/>
      <c r="ID21" s="114"/>
      <c r="IE21" s="114"/>
      <c r="IF21" s="114"/>
      <c r="IG21" s="114"/>
      <c r="IH21" s="114"/>
      <c r="II21" s="114"/>
      <c r="IJ21" s="114"/>
      <c r="IK21" s="114"/>
      <c r="IL21" s="114"/>
      <c r="IM21" s="114"/>
      <c r="IN21" s="114"/>
      <c r="IO21" s="114"/>
      <c r="IP21" s="114"/>
      <c r="IQ21" s="114"/>
      <c r="IR21" s="114"/>
      <c r="IS21" s="114"/>
      <c r="IT21" s="114"/>
    </row>
    <row r="22" spans="1:254" s="117" customFormat="1" ht="14.1" customHeight="1" x14ac:dyDescent="0.2">
      <c r="A22" s="118">
        <f t="shared" ref="A22:A23" si="8">+A21</f>
        <v>43313</v>
      </c>
      <c r="B22" s="112" t="s">
        <v>66</v>
      </c>
      <c r="C22" s="119" t="s">
        <v>81</v>
      </c>
      <c r="D22" s="114">
        <v>-984185</v>
      </c>
      <c r="E22" s="114">
        <f t="shared" si="5"/>
        <v>-984185</v>
      </c>
      <c r="F22" s="114"/>
      <c r="G22" s="114">
        <f t="shared" si="6"/>
        <v>0</v>
      </c>
      <c r="H22" s="114">
        <f t="shared" si="7"/>
        <v>-984185</v>
      </c>
      <c r="I22" s="114"/>
      <c r="J22" s="115"/>
      <c r="K22" s="116">
        <v>4663</v>
      </c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DH22" s="114"/>
      <c r="DI22" s="114"/>
      <c r="DJ22" s="114"/>
      <c r="DK22" s="114"/>
      <c r="DL22" s="114"/>
      <c r="DM22" s="114"/>
      <c r="DN22" s="114"/>
      <c r="DO22" s="114"/>
      <c r="DP22" s="114"/>
      <c r="DQ22" s="114"/>
      <c r="DR22" s="114"/>
      <c r="DS22" s="114"/>
      <c r="DT22" s="114"/>
      <c r="DU22" s="114"/>
      <c r="DV22" s="114"/>
      <c r="DW22" s="114"/>
      <c r="DX22" s="114"/>
      <c r="DY22" s="114"/>
      <c r="DZ22" s="114"/>
      <c r="EA22" s="114"/>
      <c r="EB22" s="114"/>
      <c r="EC22" s="114"/>
      <c r="ED22" s="114"/>
      <c r="EE22" s="114"/>
      <c r="EF22" s="114"/>
      <c r="EG22" s="114"/>
      <c r="EH22" s="114"/>
      <c r="EI22" s="114"/>
      <c r="EJ22" s="114"/>
      <c r="EK22" s="114"/>
      <c r="EL22" s="114"/>
      <c r="EM22" s="114"/>
      <c r="EN22" s="114"/>
      <c r="EO22" s="114"/>
      <c r="EP22" s="114"/>
      <c r="EQ22" s="114"/>
      <c r="ER22" s="114"/>
      <c r="ES22" s="114"/>
      <c r="ET22" s="114"/>
      <c r="EU22" s="114"/>
      <c r="EV22" s="114"/>
      <c r="EW22" s="114"/>
      <c r="EX22" s="114"/>
      <c r="EY22" s="114"/>
      <c r="EZ22" s="114"/>
      <c r="FA22" s="114"/>
      <c r="FB22" s="114"/>
      <c r="FC22" s="114"/>
      <c r="FD22" s="114"/>
      <c r="FE22" s="114"/>
      <c r="FF22" s="114"/>
      <c r="FG22" s="114"/>
      <c r="FH22" s="114"/>
      <c r="FI22" s="114"/>
      <c r="FJ22" s="114"/>
      <c r="FK22" s="114"/>
      <c r="FL22" s="114"/>
      <c r="FM22" s="114"/>
      <c r="FN22" s="114"/>
      <c r="FO22" s="114"/>
      <c r="FP22" s="114"/>
      <c r="FQ22" s="114"/>
      <c r="FR22" s="114"/>
      <c r="FS22" s="114"/>
      <c r="FT22" s="114"/>
      <c r="FU22" s="114"/>
      <c r="FV22" s="114"/>
      <c r="FW22" s="114"/>
      <c r="FX22" s="114"/>
      <c r="FY22" s="114"/>
      <c r="FZ22" s="114"/>
      <c r="GA22" s="114"/>
      <c r="GB22" s="114"/>
      <c r="GC22" s="114"/>
      <c r="GD22" s="114"/>
      <c r="GE22" s="114"/>
      <c r="GF22" s="114"/>
      <c r="GG22" s="114"/>
      <c r="GH22" s="114"/>
      <c r="GI22" s="114"/>
      <c r="GJ22" s="114"/>
      <c r="GK22" s="114"/>
      <c r="GL22" s="114"/>
      <c r="GM22" s="114"/>
      <c r="GN22" s="114"/>
      <c r="GO22" s="114"/>
      <c r="GP22" s="114"/>
      <c r="GQ22" s="114"/>
      <c r="GR22" s="114"/>
      <c r="GS22" s="114"/>
      <c r="GT22" s="114"/>
      <c r="GU22" s="114"/>
      <c r="GV22" s="114"/>
      <c r="GW22" s="114"/>
      <c r="GX22" s="114"/>
      <c r="GY22" s="114"/>
      <c r="GZ22" s="114"/>
      <c r="HA22" s="114"/>
      <c r="HB22" s="114"/>
      <c r="HC22" s="114"/>
      <c r="HD22" s="114"/>
      <c r="HE22" s="114"/>
      <c r="HF22" s="114"/>
      <c r="HG22" s="114"/>
      <c r="HH22" s="114"/>
      <c r="HI22" s="114"/>
      <c r="HJ22" s="114"/>
      <c r="HK22" s="114"/>
      <c r="HL22" s="114"/>
      <c r="HM22" s="114"/>
      <c r="HN22" s="114"/>
      <c r="HO22" s="114"/>
      <c r="HP22" s="114"/>
      <c r="HQ22" s="114"/>
      <c r="HR22" s="114"/>
      <c r="HS22" s="114"/>
      <c r="HT22" s="114"/>
      <c r="HU22" s="114"/>
      <c r="HV22" s="114"/>
      <c r="HW22" s="114"/>
      <c r="HX22" s="114"/>
      <c r="HY22" s="114"/>
      <c r="HZ22" s="114"/>
      <c r="IA22" s="114"/>
      <c r="IB22" s="114"/>
      <c r="IC22" s="114"/>
      <c r="ID22" s="114"/>
      <c r="IE22" s="114"/>
      <c r="IF22" s="114"/>
      <c r="IG22" s="114"/>
      <c r="IH22" s="114"/>
      <c r="II22" s="114"/>
      <c r="IJ22" s="114"/>
      <c r="IK22" s="114"/>
      <c r="IL22" s="114"/>
      <c r="IM22" s="114"/>
      <c r="IN22" s="114"/>
      <c r="IO22" s="114"/>
      <c r="IP22" s="114"/>
      <c r="IQ22" s="114"/>
      <c r="IR22" s="114"/>
      <c r="IS22" s="114"/>
      <c r="IT22" s="114"/>
    </row>
    <row r="23" spans="1:254" s="117" customFormat="1" ht="14.1" customHeight="1" x14ac:dyDescent="0.2">
      <c r="A23" s="118">
        <f t="shared" si="8"/>
        <v>43313</v>
      </c>
      <c r="B23" s="112" t="s">
        <v>67</v>
      </c>
      <c r="C23" s="119" t="s">
        <v>81</v>
      </c>
      <c r="D23" s="114"/>
      <c r="E23" s="114">
        <f t="shared" si="5"/>
        <v>0</v>
      </c>
      <c r="F23" s="114">
        <v>9603</v>
      </c>
      <c r="G23" s="114">
        <f t="shared" si="6"/>
        <v>9603</v>
      </c>
      <c r="H23" s="114">
        <f t="shared" si="7"/>
        <v>0</v>
      </c>
      <c r="I23" s="114"/>
      <c r="J23" s="115"/>
      <c r="K23" s="116">
        <v>6870</v>
      </c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4"/>
      <c r="BX23" s="114"/>
      <c r="BY23" s="114"/>
      <c r="BZ23" s="114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4"/>
      <c r="CR23" s="114"/>
      <c r="CS23" s="114"/>
      <c r="CT23" s="114"/>
      <c r="CU23" s="114"/>
      <c r="CV23" s="114"/>
      <c r="CW23" s="114"/>
      <c r="CX23" s="114"/>
      <c r="CY23" s="114"/>
      <c r="CZ23" s="114"/>
      <c r="DA23" s="114"/>
      <c r="DB23" s="114"/>
      <c r="DC23" s="114"/>
      <c r="DD23" s="114"/>
      <c r="DE23" s="114"/>
      <c r="DF23" s="114"/>
      <c r="DG23" s="114"/>
      <c r="DH23" s="114"/>
      <c r="DI23" s="114"/>
      <c r="DJ23" s="114"/>
      <c r="DK23" s="114"/>
      <c r="DL23" s="114"/>
      <c r="DM23" s="114"/>
      <c r="DN23" s="114"/>
      <c r="DO23" s="114"/>
      <c r="DP23" s="114"/>
      <c r="DQ23" s="114"/>
      <c r="DR23" s="114"/>
      <c r="DS23" s="114"/>
      <c r="DT23" s="114"/>
      <c r="DU23" s="114"/>
      <c r="DV23" s="114"/>
      <c r="DW23" s="114"/>
      <c r="DX23" s="114"/>
      <c r="DY23" s="114"/>
      <c r="DZ23" s="114"/>
      <c r="EA23" s="114"/>
      <c r="EB23" s="114"/>
      <c r="EC23" s="114"/>
      <c r="ED23" s="114"/>
      <c r="EE23" s="114"/>
      <c r="EF23" s="114"/>
      <c r="EG23" s="114"/>
      <c r="EH23" s="114"/>
      <c r="EI23" s="114"/>
      <c r="EJ23" s="114"/>
      <c r="EK23" s="114"/>
      <c r="EL23" s="114"/>
      <c r="EM23" s="114"/>
      <c r="EN23" s="114"/>
      <c r="EO23" s="114"/>
      <c r="EP23" s="114"/>
      <c r="EQ23" s="114"/>
      <c r="ER23" s="114"/>
      <c r="ES23" s="114"/>
      <c r="ET23" s="114"/>
      <c r="EU23" s="114"/>
      <c r="EV23" s="114"/>
      <c r="EW23" s="114"/>
      <c r="EX23" s="114"/>
      <c r="EY23" s="114"/>
      <c r="EZ23" s="114"/>
      <c r="FA23" s="114"/>
      <c r="FB23" s="114"/>
      <c r="FC23" s="114"/>
      <c r="FD23" s="114"/>
      <c r="FE23" s="114"/>
      <c r="FF23" s="114"/>
      <c r="FG23" s="114"/>
      <c r="FH23" s="114"/>
      <c r="FI23" s="114"/>
      <c r="FJ23" s="114"/>
      <c r="FK23" s="114"/>
      <c r="FL23" s="114"/>
      <c r="FM23" s="114"/>
      <c r="FN23" s="114"/>
      <c r="FO23" s="114"/>
      <c r="FP23" s="114"/>
      <c r="FQ23" s="114"/>
      <c r="FR23" s="114"/>
      <c r="FS23" s="114"/>
      <c r="FT23" s="114"/>
      <c r="FU23" s="114"/>
      <c r="FV23" s="114"/>
      <c r="FW23" s="114"/>
      <c r="FX23" s="114"/>
      <c r="FY23" s="114"/>
      <c r="FZ23" s="114"/>
      <c r="GA23" s="114"/>
      <c r="GB23" s="114"/>
      <c r="GC23" s="114"/>
      <c r="GD23" s="114"/>
      <c r="GE23" s="114"/>
      <c r="GF23" s="114"/>
      <c r="GG23" s="114"/>
      <c r="GH23" s="114"/>
      <c r="GI23" s="114"/>
      <c r="GJ23" s="114"/>
      <c r="GK23" s="114"/>
      <c r="GL23" s="114"/>
      <c r="GM23" s="114"/>
      <c r="GN23" s="114"/>
      <c r="GO23" s="114"/>
      <c r="GP23" s="114"/>
      <c r="GQ23" s="114"/>
      <c r="GR23" s="114"/>
      <c r="GS23" s="114"/>
      <c r="GT23" s="114"/>
      <c r="GU23" s="114"/>
      <c r="GV23" s="114"/>
      <c r="GW23" s="114"/>
      <c r="GX23" s="114"/>
      <c r="GY23" s="114"/>
      <c r="GZ23" s="114"/>
      <c r="HA23" s="114"/>
      <c r="HB23" s="114"/>
      <c r="HC23" s="114"/>
      <c r="HD23" s="114"/>
      <c r="HE23" s="114"/>
      <c r="HF23" s="114"/>
      <c r="HG23" s="114"/>
      <c r="HH23" s="114"/>
      <c r="HI23" s="114"/>
      <c r="HJ23" s="114"/>
      <c r="HK23" s="114"/>
      <c r="HL23" s="114"/>
      <c r="HM23" s="114"/>
      <c r="HN23" s="114"/>
      <c r="HO23" s="114"/>
      <c r="HP23" s="114"/>
      <c r="HQ23" s="114"/>
      <c r="HR23" s="114"/>
      <c r="HS23" s="114"/>
      <c r="HT23" s="114"/>
      <c r="HU23" s="114"/>
      <c r="HV23" s="114"/>
      <c r="HW23" s="114"/>
      <c r="HX23" s="114"/>
      <c r="HY23" s="114"/>
      <c r="HZ23" s="114"/>
      <c r="IA23" s="114"/>
      <c r="IB23" s="114"/>
      <c r="IC23" s="114"/>
      <c r="ID23" s="114"/>
      <c r="IE23" s="114"/>
      <c r="IF23" s="114"/>
      <c r="IG23" s="114"/>
      <c r="IH23" s="114"/>
      <c r="II23" s="114"/>
      <c r="IJ23" s="114"/>
      <c r="IK23" s="114"/>
      <c r="IL23" s="114"/>
      <c r="IM23" s="114"/>
      <c r="IN23" s="114"/>
      <c r="IO23" s="114"/>
      <c r="IP23" s="114"/>
      <c r="IQ23" s="114"/>
      <c r="IR23" s="114"/>
      <c r="IS23" s="114"/>
      <c r="IT23" s="114"/>
    </row>
    <row r="24" spans="1:254" s="117" customFormat="1" ht="14.1" customHeight="1" x14ac:dyDescent="0.2">
      <c r="A24" s="118">
        <v>43313</v>
      </c>
      <c r="B24" s="112" t="s">
        <v>69</v>
      </c>
      <c r="C24" s="119" t="s">
        <v>80</v>
      </c>
      <c r="D24" s="121"/>
      <c r="E24" s="114">
        <f t="shared" ref="E24:E39" si="9">+D24</f>
        <v>0</v>
      </c>
      <c r="F24" s="114"/>
      <c r="G24" s="114">
        <v>60000</v>
      </c>
      <c r="H24" s="114">
        <f t="shared" si="7"/>
        <v>0</v>
      </c>
      <c r="I24" s="114"/>
      <c r="J24" s="115" t="s">
        <v>70</v>
      </c>
      <c r="K24" s="116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14"/>
      <c r="BC24" s="114"/>
      <c r="BD24" s="114"/>
      <c r="BE24" s="114"/>
      <c r="BF24" s="114"/>
      <c r="BG24" s="114"/>
      <c r="BH24" s="114"/>
      <c r="BI24" s="114"/>
      <c r="BJ24" s="114"/>
      <c r="BK24" s="114"/>
      <c r="BL24" s="114"/>
      <c r="BM24" s="114"/>
      <c r="BN24" s="114"/>
      <c r="BO24" s="114"/>
      <c r="BP24" s="114"/>
      <c r="BQ24" s="114"/>
      <c r="BR24" s="114"/>
      <c r="BS24" s="114"/>
      <c r="BT24" s="114"/>
      <c r="BU24" s="114"/>
      <c r="BV24" s="114"/>
      <c r="BW24" s="114"/>
      <c r="BX24" s="114"/>
      <c r="BY24" s="114"/>
      <c r="BZ24" s="114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4"/>
      <c r="CR24" s="114"/>
      <c r="CS24" s="114"/>
      <c r="CT24" s="114"/>
      <c r="CU24" s="114"/>
      <c r="CV24" s="114"/>
      <c r="CW24" s="114"/>
      <c r="CX24" s="114"/>
      <c r="CY24" s="114"/>
      <c r="CZ24" s="114"/>
      <c r="DA24" s="114"/>
      <c r="DB24" s="114"/>
      <c r="DC24" s="114"/>
      <c r="DD24" s="114"/>
      <c r="DE24" s="114"/>
      <c r="DF24" s="114"/>
      <c r="DG24" s="114"/>
      <c r="DH24" s="114"/>
      <c r="DI24" s="114"/>
      <c r="DJ24" s="114"/>
      <c r="DK24" s="114"/>
      <c r="DL24" s="114"/>
      <c r="DM24" s="114"/>
      <c r="DN24" s="114"/>
      <c r="DO24" s="114"/>
      <c r="DP24" s="114"/>
      <c r="DQ24" s="114"/>
      <c r="DR24" s="114"/>
      <c r="DS24" s="114"/>
      <c r="DT24" s="114"/>
      <c r="DU24" s="114"/>
      <c r="DV24" s="114"/>
      <c r="DW24" s="114"/>
      <c r="DX24" s="114"/>
      <c r="DY24" s="114"/>
      <c r="DZ24" s="114"/>
      <c r="EA24" s="114"/>
      <c r="EB24" s="114"/>
      <c r="EC24" s="114"/>
      <c r="ED24" s="114"/>
      <c r="EE24" s="114"/>
      <c r="EF24" s="114"/>
      <c r="EG24" s="114"/>
      <c r="EH24" s="114"/>
      <c r="EI24" s="114"/>
      <c r="EJ24" s="114"/>
      <c r="EK24" s="114"/>
      <c r="EL24" s="114"/>
      <c r="EM24" s="114"/>
      <c r="EN24" s="114"/>
      <c r="EO24" s="114"/>
      <c r="EP24" s="114"/>
      <c r="EQ24" s="114"/>
      <c r="ER24" s="114"/>
      <c r="ES24" s="114"/>
      <c r="ET24" s="114"/>
      <c r="EU24" s="114"/>
      <c r="EV24" s="114"/>
      <c r="EW24" s="114"/>
      <c r="EX24" s="114"/>
      <c r="EY24" s="114"/>
      <c r="EZ24" s="114"/>
      <c r="FA24" s="114"/>
      <c r="FB24" s="114"/>
      <c r="FC24" s="114"/>
      <c r="FD24" s="114"/>
      <c r="FE24" s="114"/>
      <c r="FF24" s="114"/>
      <c r="FG24" s="114"/>
      <c r="FH24" s="114"/>
      <c r="FI24" s="114"/>
      <c r="FJ24" s="114"/>
      <c r="FK24" s="114"/>
      <c r="FL24" s="114"/>
      <c r="FM24" s="114"/>
      <c r="FN24" s="114"/>
      <c r="FO24" s="114"/>
      <c r="FP24" s="114"/>
      <c r="FQ24" s="114"/>
      <c r="FR24" s="114"/>
      <c r="FS24" s="114"/>
      <c r="FT24" s="114"/>
      <c r="FU24" s="114"/>
      <c r="FV24" s="114"/>
      <c r="FW24" s="114"/>
      <c r="FX24" s="114"/>
      <c r="FY24" s="114"/>
      <c r="FZ24" s="114"/>
      <c r="GA24" s="114"/>
      <c r="GB24" s="114"/>
      <c r="GC24" s="114"/>
      <c r="GD24" s="114"/>
      <c r="GE24" s="114"/>
      <c r="GF24" s="114"/>
      <c r="GG24" s="114"/>
      <c r="GH24" s="114"/>
      <c r="GI24" s="114"/>
      <c r="GJ24" s="114"/>
      <c r="GK24" s="114"/>
      <c r="GL24" s="114"/>
      <c r="GM24" s="114"/>
      <c r="GN24" s="114"/>
      <c r="GO24" s="114"/>
      <c r="GP24" s="114"/>
      <c r="GQ24" s="114"/>
      <c r="GR24" s="114"/>
      <c r="GS24" s="114"/>
      <c r="GT24" s="114"/>
      <c r="GU24" s="114"/>
      <c r="GV24" s="114"/>
      <c r="GW24" s="114"/>
      <c r="GX24" s="114"/>
      <c r="GY24" s="114"/>
      <c r="GZ24" s="114"/>
      <c r="HA24" s="114"/>
      <c r="HB24" s="114"/>
      <c r="HC24" s="114"/>
      <c r="HD24" s="114"/>
      <c r="HE24" s="114"/>
      <c r="HF24" s="114"/>
      <c r="HG24" s="114"/>
      <c r="HH24" s="114"/>
      <c r="HI24" s="114"/>
      <c r="HJ24" s="114"/>
      <c r="HK24" s="114"/>
      <c r="HL24" s="114"/>
      <c r="HM24" s="114"/>
      <c r="HN24" s="114"/>
      <c r="HO24" s="114"/>
      <c r="HP24" s="114"/>
      <c r="HQ24" s="114"/>
      <c r="HR24" s="114"/>
      <c r="HS24" s="114"/>
      <c r="HT24" s="114"/>
      <c r="HU24" s="114"/>
      <c r="HV24" s="114"/>
      <c r="HW24" s="114"/>
      <c r="HX24" s="114"/>
      <c r="HY24" s="114"/>
      <c r="HZ24" s="114"/>
      <c r="IA24" s="114"/>
      <c r="IB24" s="114"/>
      <c r="IC24" s="114"/>
      <c r="ID24" s="114"/>
      <c r="IE24" s="114"/>
      <c r="IF24" s="114"/>
      <c r="IG24" s="114"/>
      <c r="IH24" s="114"/>
      <c r="II24" s="114"/>
      <c r="IJ24" s="114"/>
      <c r="IK24" s="114"/>
      <c r="IL24" s="114"/>
      <c r="IM24" s="114"/>
      <c r="IN24" s="114"/>
      <c r="IO24" s="114"/>
      <c r="IP24" s="114"/>
      <c r="IQ24" s="114"/>
      <c r="IR24" s="114"/>
      <c r="IS24" s="114"/>
      <c r="IT24" s="114"/>
    </row>
    <row r="25" spans="1:254" s="117" customFormat="1" ht="14.1" customHeight="1" x14ac:dyDescent="0.2">
      <c r="A25" s="118">
        <v>43333</v>
      </c>
      <c r="B25" s="122" t="s">
        <v>77</v>
      </c>
      <c r="C25" s="119" t="s">
        <v>81</v>
      </c>
      <c r="D25" s="114"/>
      <c r="E25" s="114">
        <f t="shared" si="9"/>
        <v>0</v>
      </c>
      <c r="F25" s="114">
        <v>192067</v>
      </c>
      <c r="G25" s="114">
        <f t="shared" si="6"/>
        <v>192067</v>
      </c>
      <c r="H25" s="114">
        <f t="shared" si="7"/>
        <v>0</v>
      </c>
      <c r="I25" s="114"/>
      <c r="J25" s="115"/>
      <c r="K25" s="116">
        <v>6284</v>
      </c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  <c r="FL25" s="114"/>
      <c r="FM25" s="114"/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GT25" s="114"/>
      <c r="GU25" s="114"/>
      <c r="GV25" s="114"/>
      <c r="GW25" s="114"/>
      <c r="GX25" s="114"/>
      <c r="GY25" s="114"/>
      <c r="GZ25" s="114"/>
      <c r="HA25" s="114"/>
      <c r="HB25" s="114"/>
      <c r="HC25" s="114"/>
      <c r="HD25" s="114"/>
      <c r="HE25" s="114"/>
      <c r="HF25" s="114"/>
      <c r="HG25" s="114"/>
      <c r="HH25" s="114"/>
      <c r="HI25" s="114"/>
      <c r="HJ25" s="114"/>
      <c r="HK25" s="114"/>
      <c r="HL25" s="114"/>
      <c r="HM25" s="114"/>
      <c r="HN25" s="114"/>
      <c r="HO25" s="114"/>
      <c r="HP25" s="114"/>
      <c r="HQ25" s="114"/>
      <c r="HR25" s="114"/>
      <c r="HS25" s="114"/>
      <c r="HT25" s="114"/>
      <c r="HU25" s="114"/>
      <c r="HV25" s="114"/>
      <c r="HW25" s="114"/>
      <c r="HX25" s="114"/>
      <c r="HY25" s="114"/>
      <c r="HZ25" s="114"/>
      <c r="IA25" s="114"/>
      <c r="IB25" s="114"/>
      <c r="IC25" s="114"/>
      <c r="ID25" s="114"/>
      <c r="IE25" s="114"/>
      <c r="IF25" s="114"/>
      <c r="IG25" s="114"/>
      <c r="IH25" s="114"/>
      <c r="II25" s="114"/>
      <c r="IJ25" s="114"/>
      <c r="IK25" s="114"/>
      <c r="IL25" s="114"/>
      <c r="IM25" s="114"/>
      <c r="IN25" s="114"/>
      <c r="IO25" s="114"/>
      <c r="IP25" s="114"/>
      <c r="IQ25" s="114"/>
      <c r="IR25" s="114"/>
      <c r="IS25" s="114"/>
      <c r="IT25" s="114"/>
    </row>
    <row r="26" spans="1:254" s="117" customFormat="1" ht="14.1" customHeight="1" x14ac:dyDescent="0.2">
      <c r="A26" s="118">
        <v>43349</v>
      </c>
      <c r="B26" s="112" t="s">
        <v>78</v>
      </c>
      <c r="C26" s="119" t="s">
        <v>80</v>
      </c>
      <c r="D26" s="114"/>
      <c r="E26" s="114">
        <f t="shared" si="9"/>
        <v>0</v>
      </c>
      <c r="F26" s="114"/>
      <c r="G26" s="114">
        <v>49500</v>
      </c>
      <c r="H26" s="114">
        <f t="shared" si="7"/>
        <v>0</v>
      </c>
      <c r="I26" s="114"/>
      <c r="J26" s="115" t="s">
        <v>79</v>
      </c>
      <c r="K26" s="116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  <c r="FL26" s="114"/>
      <c r="FM26" s="114"/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GT26" s="114"/>
      <c r="GU26" s="114"/>
      <c r="GV26" s="114"/>
      <c r="GW26" s="114"/>
      <c r="GX26" s="114"/>
      <c r="GY26" s="114"/>
      <c r="GZ26" s="114"/>
      <c r="HA26" s="114"/>
      <c r="HB26" s="114"/>
      <c r="HC26" s="114"/>
      <c r="HD26" s="114"/>
      <c r="HE26" s="114"/>
      <c r="HF26" s="114"/>
      <c r="HG26" s="114"/>
      <c r="HH26" s="114"/>
      <c r="HI26" s="114"/>
      <c r="HJ26" s="114"/>
      <c r="HK26" s="114"/>
      <c r="HL26" s="114"/>
      <c r="HM26" s="114"/>
      <c r="HN26" s="114"/>
      <c r="HO26" s="114"/>
      <c r="HP26" s="114"/>
      <c r="HQ26" s="114"/>
      <c r="HR26" s="114"/>
      <c r="HS26" s="114"/>
      <c r="HT26" s="114"/>
      <c r="HU26" s="114"/>
      <c r="HV26" s="114"/>
      <c r="HW26" s="114"/>
      <c r="HX26" s="114"/>
      <c r="HY26" s="114"/>
      <c r="HZ26" s="114"/>
      <c r="IA26" s="114"/>
      <c r="IB26" s="114"/>
      <c r="IC26" s="114"/>
      <c r="ID26" s="114"/>
      <c r="IE26" s="114"/>
      <c r="IF26" s="114"/>
      <c r="IG26" s="114"/>
      <c r="IH26" s="114"/>
      <c r="II26" s="114"/>
      <c r="IJ26" s="114"/>
      <c r="IK26" s="114"/>
      <c r="IL26" s="114"/>
      <c r="IM26" s="114"/>
      <c r="IN26" s="114"/>
      <c r="IO26" s="114"/>
      <c r="IP26" s="114"/>
      <c r="IQ26" s="114"/>
      <c r="IR26" s="114"/>
      <c r="IS26" s="114"/>
      <c r="IT26" s="114"/>
    </row>
    <row r="27" spans="1:254" s="117" customFormat="1" ht="14.1" customHeight="1" x14ac:dyDescent="0.2">
      <c r="A27" s="118">
        <v>43360</v>
      </c>
      <c r="B27" s="122" t="s">
        <v>82</v>
      </c>
      <c r="C27" s="119" t="s">
        <v>80</v>
      </c>
      <c r="D27" s="114"/>
      <c r="E27" s="114">
        <f t="shared" si="9"/>
        <v>0</v>
      </c>
      <c r="F27" s="114"/>
      <c r="G27" s="114">
        <f t="shared" si="6"/>
        <v>0</v>
      </c>
      <c r="H27" s="114">
        <f t="shared" si="7"/>
        <v>0</v>
      </c>
      <c r="I27" s="114"/>
      <c r="J27" s="115"/>
      <c r="K27" s="116"/>
      <c r="L27" s="114">
        <v>23272.84</v>
      </c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  <c r="BD27" s="114"/>
      <c r="BE27" s="114"/>
      <c r="BF27" s="114"/>
      <c r="BG27" s="114"/>
      <c r="BH27" s="114"/>
      <c r="BI27" s="114"/>
      <c r="BJ27" s="114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4"/>
      <c r="CR27" s="114"/>
      <c r="CS27" s="114"/>
      <c r="CT27" s="114"/>
      <c r="CU27" s="114"/>
      <c r="CV27" s="114"/>
      <c r="CW27" s="114"/>
      <c r="CX27" s="114"/>
      <c r="CY27" s="114"/>
      <c r="CZ27" s="114"/>
      <c r="DA27" s="114"/>
      <c r="DB27" s="114"/>
      <c r="DC27" s="114"/>
      <c r="DD27" s="114"/>
      <c r="DE27" s="114"/>
      <c r="DF27" s="114"/>
      <c r="DG27" s="114"/>
      <c r="DH27" s="114"/>
      <c r="DI27" s="114"/>
      <c r="DJ27" s="114"/>
      <c r="DK27" s="114"/>
      <c r="DL27" s="114"/>
      <c r="DM27" s="114"/>
      <c r="DN27" s="114"/>
      <c r="DO27" s="114"/>
      <c r="DP27" s="114"/>
      <c r="DQ27" s="114"/>
      <c r="DR27" s="114"/>
      <c r="DS27" s="114"/>
      <c r="DT27" s="114"/>
      <c r="DU27" s="114"/>
      <c r="DV27" s="114"/>
      <c r="DW27" s="114"/>
      <c r="DX27" s="114"/>
      <c r="DY27" s="114"/>
      <c r="DZ27" s="114"/>
      <c r="EA27" s="114"/>
      <c r="EB27" s="114"/>
      <c r="EC27" s="114"/>
      <c r="ED27" s="114"/>
      <c r="EE27" s="114"/>
      <c r="EF27" s="114"/>
      <c r="EG27" s="114"/>
      <c r="EH27" s="114"/>
      <c r="EI27" s="114"/>
      <c r="EJ27" s="114"/>
      <c r="EK27" s="114"/>
      <c r="EL27" s="114"/>
      <c r="EM27" s="114"/>
      <c r="EN27" s="114"/>
      <c r="EO27" s="114"/>
      <c r="EP27" s="114"/>
      <c r="EQ27" s="114"/>
      <c r="ER27" s="114"/>
      <c r="ES27" s="114"/>
      <c r="ET27" s="114"/>
      <c r="EU27" s="114"/>
      <c r="EV27" s="114"/>
      <c r="EW27" s="114"/>
      <c r="EX27" s="114"/>
      <c r="EY27" s="114"/>
      <c r="EZ27" s="114"/>
      <c r="FA27" s="114"/>
      <c r="FB27" s="114"/>
      <c r="FC27" s="114"/>
      <c r="FD27" s="114"/>
      <c r="FE27" s="114"/>
      <c r="FF27" s="114"/>
      <c r="FG27" s="114"/>
      <c r="FH27" s="114"/>
      <c r="FI27" s="114"/>
      <c r="FJ27" s="114"/>
      <c r="FK27" s="114"/>
      <c r="FL27" s="114"/>
      <c r="FM27" s="114"/>
      <c r="FN27" s="114"/>
      <c r="FO27" s="114"/>
      <c r="FP27" s="114"/>
      <c r="FQ27" s="114"/>
      <c r="FR27" s="114"/>
      <c r="FS27" s="114"/>
      <c r="FT27" s="114"/>
      <c r="FU27" s="114"/>
      <c r="FV27" s="114"/>
      <c r="FW27" s="114"/>
      <c r="FX27" s="114"/>
      <c r="FY27" s="114"/>
      <c r="FZ27" s="114"/>
      <c r="GA27" s="114"/>
      <c r="GB27" s="114"/>
      <c r="GC27" s="114"/>
      <c r="GD27" s="114"/>
      <c r="GE27" s="114"/>
      <c r="GF27" s="114"/>
      <c r="GG27" s="114"/>
      <c r="GH27" s="114"/>
      <c r="GI27" s="114"/>
      <c r="GJ27" s="114"/>
      <c r="GK27" s="114"/>
      <c r="GL27" s="114"/>
      <c r="GM27" s="114"/>
      <c r="GN27" s="114"/>
      <c r="GO27" s="114"/>
      <c r="GP27" s="114"/>
      <c r="GQ27" s="114"/>
      <c r="GR27" s="114"/>
      <c r="GS27" s="114"/>
      <c r="GT27" s="114"/>
      <c r="GU27" s="114"/>
      <c r="GV27" s="114"/>
      <c r="GW27" s="114"/>
      <c r="GX27" s="114"/>
      <c r="GY27" s="114"/>
      <c r="GZ27" s="114"/>
      <c r="HA27" s="114"/>
      <c r="HB27" s="114"/>
      <c r="HC27" s="114"/>
      <c r="HD27" s="114"/>
      <c r="HE27" s="114"/>
      <c r="HF27" s="114"/>
      <c r="HG27" s="114"/>
      <c r="HH27" s="114"/>
      <c r="HI27" s="114"/>
      <c r="HJ27" s="114"/>
      <c r="HK27" s="114"/>
      <c r="HL27" s="114"/>
      <c r="HM27" s="114"/>
      <c r="HN27" s="114"/>
      <c r="HO27" s="114"/>
      <c r="HP27" s="114"/>
      <c r="HQ27" s="114"/>
      <c r="HR27" s="114"/>
      <c r="HS27" s="114"/>
      <c r="HT27" s="114"/>
      <c r="HU27" s="114"/>
      <c r="HV27" s="114"/>
      <c r="HW27" s="114"/>
      <c r="HX27" s="114"/>
      <c r="HY27" s="114"/>
      <c r="HZ27" s="114"/>
      <c r="IA27" s="114"/>
      <c r="IB27" s="114"/>
      <c r="IC27" s="114"/>
      <c r="ID27" s="114"/>
      <c r="IE27" s="114"/>
      <c r="IF27" s="114"/>
      <c r="IG27" s="114"/>
      <c r="IH27" s="114"/>
      <c r="II27" s="114"/>
      <c r="IJ27" s="114"/>
      <c r="IK27" s="114"/>
      <c r="IL27" s="114"/>
      <c r="IM27" s="114"/>
      <c r="IN27" s="114"/>
      <c r="IO27" s="114"/>
      <c r="IP27" s="114"/>
      <c r="IQ27" s="114"/>
      <c r="IR27" s="114"/>
      <c r="IS27" s="114"/>
      <c r="IT27" s="114"/>
    </row>
    <row r="28" spans="1:254" s="117" customFormat="1" ht="14.1" customHeight="1" x14ac:dyDescent="0.2">
      <c r="A28" s="118">
        <v>43375</v>
      </c>
      <c r="B28" s="112" t="s">
        <v>83</v>
      </c>
      <c r="C28" s="119" t="s">
        <v>80</v>
      </c>
      <c r="D28" s="114"/>
      <c r="E28" s="114">
        <f t="shared" si="9"/>
        <v>0</v>
      </c>
      <c r="F28" s="114"/>
      <c r="G28" s="114">
        <v>1725324</v>
      </c>
      <c r="H28" s="114">
        <f t="shared" si="7"/>
        <v>0</v>
      </c>
      <c r="I28" s="114"/>
      <c r="J28" s="115" t="s">
        <v>84</v>
      </c>
      <c r="K28" s="116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14"/>
      <c r="BN28" s="114"/>
      <c r="BO28" s="114"/>
      <c r="BP28" s="114"/>
      <c r="BQ28" s="114"/>
      <c r="BR28" s="114"/>
      <c r="BS28" s="114"/>
      <c r="BT28" s="114"/>
      <c r="BU28" s="114"/>
      <c r="BV28" s="114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4"/>
      <c r="DS28" s="114"/>
      <c r="DT28" s="114"/>
      <c r="DU28" s="114"/>
      <c r="DV28" s="114"/>
      <c r="DW28" s="114"/>
      <c r="DX28" s="114"/>
      <c r="DY28" s="114"/>
      <c r="DZ28" s="114"/>
      <c r="EA28" s="114"/>
      <c r="EB28" s="114"/>
      <c r="EC28" s="114"/>
      <c r="ED28" s="114"/>
      <c r="EE28" s="114"/>
      <c r="EF28" s="114"/>
      <c r="EG28" s="114"/>
      <c r="EH28" s="114"/>
      <c r="EI28" s="114"/>
      <c r="EJ28" s="114"/>
      <c r="EK28" s="114"/>
      <c r="EL28" s="114"/>
      <c r="EM28" s="114"/>
      <c r="EN28" s="114"/>
      <c r="EO28" s="114"/>
      <c r="EP28" s="114"/>
      <c r="EQ28" s="114"/>
      <c r="ER28" s="114"/>
      <c r="ES28" s="114"/>
      <c r="ET28" s="114"/>
      <c r="EU28" s="114"/>
      <c r="EV28" s="114"/>
      <c r="EW28" s="114"/>
      <c r="EX28" s="114"/>
      <c r="EY28" s="114"/>
      <c r="EZ28" s="114"/>
      <c r="FA28" s="114"/>
      <c r="FB28" s="114"/>
      <c r="FC28" s="114"/>
      <c r="FD28" s="114"/>
      <c r="FE28" s="114"/>
      <c r="FF28" s="114"/>
      <c r="FG28" s="114"/>
      <c r="FH28" s="114"/>
      <c r="FI28" s="114"/>
      <c r="FJ28" s="114"/>
      <c r="FK28" s="114"/>
      <c r="FL28" s="114"/>
      <c r="FM28" s="114"/>
      <c r="FN28" s="114"/>
      <c r="FO28" s="114"/>
      <c r="FP28" s="114"/>
      <c r="FQ28" s="114"/>
      <c r="FR28" s="114"/>
      <c r="FS28" s="114"/>
      <c r="FT28" s="114"/>
      <c r="FU28" s="114"/>
      <c r="FV28" s="114"/>
      <c r="FW28" s="114"/>
      <c r="FX28" s="114"/>
      <c r="FY28" s="114"/>
      <c r="FZ28" s="114"/>
      <c r="GA28" s="114"/>
      <c r="GB28" s="114"/>
      <c r="GC28" s="114"/>
      <c r="GD28" s="114"/>
      <c r="GE28" s="114"/>
      <c r="GF28" s="114"/>
      <c r="GG28" s="114"/>
      <c r="GH28" s="114"/>
      <c r="GI28" s="114"/>
      <c r="GJ28" s="114"/>
      <c r="GK28" s="114"/>
      <c r="GL28" s="114"/>
      <c r="GM28" s="114"/>
      <c r="GN28" s="114"/>
      <c r="GO28" s="114"/>
      <c r="GP28" s="114"/>
      <c r="GQ28" s="114"/>
      <c r="GR28" s="114"/>
      <c r="GS28" s="114"/>
      <c r="GT28" s="114"/>
      <c r="GU28" s="114"/>
      <c r="GV28" s="114"/>
      <c r="GW28" s="114"/>
      <c r="GX28" s="114"/>
      <c r="GY28" s="114"/>
      <c r="GZ28" s="114"/>
      <c r="HA28" s="114"/>
      <c r="HB28" s="114"/>
      <c r="HC28" s="114"/>
      <c r="HD28" s="114"/>
      <c r="HE28" s="114"/>
      <c r="HF28" s="114"/>
      <c r="HG28" s="114"/>
      <c r="HH28" s="114"/>
      <c r="HI28" s="114"/>
      <c r="HJ28" s="114"/>
      <c r="HK28" s="114"/>
      <c r="HL28" s="114"/>
      <c r="HM28" s="114"/>
      <c r="HN28" s="114"/>
      <c r="HO28" s="114"/>
      <c r="HP28" s="114"/>
      <c r="HQ28" s="114"/>
      <c r="HR28" s="114"/>
      <c r="HS28" s="114"/>
      <c r="HT28" s="114"/>
      <c r="HU28" s="114"/>
      <c r="HV28" s="114"/>
      <c r="HW28" s="114"/>
      <c r="HX28" s="114"/>
      <c r="HY28" s="114"/>
      <c r="HZ28" s="114"/>
      <c r="IA28" s="114"/>
      <c r="IB28" s="114"/>
      <c r="IC28" s="114"/>
      <c r="ID28" s="114"/>
      <c r="IE28" s="114"/>
      <c r="IF28" s="114"/>
      <c r="IG28" s="114"/>
      <c r="IH28" s="114"/>
      <c r="II28" s="114"/>
      <c r="IJ28" s="114"/>
      <c r="IK28" s="114"/>
      <c r="IL28" s="114"/>
      <c r="IM28" s="114"/>
      <c r="IN28" s="114"/>
      <c r="IO28" s="114"/>
      <c r="IP28" s="114"/>
      <c r="IQ28" s="114"/>
      <c r="IR28" s="114"/>
      <c r="IS28" s="114"/>
      <c r="IT28" s="114"/>
    </row>
    <row r="29" spans="1:254" s="117" customFormat="1" ht="14.1" customHeight="1" x14ac:dyDescent="0.2">
      <c r="A29" s="118">
        <v>43374</v>
      </c>
      <c r="B29" s="112" t="s">
        <v>85</v>
      </c>
      <c r="C29" s="119" t="s">
        <v>80</v>
      </c>
      <c r="D29" s="114"/>
      <c r="E29" s="114">
        <f t="shared" si="9"/>
        <v>0</v>
      </c>
      <c r="F29" s="114"/>
      <c r="G29" s="114">
        <v>2635755</v>
      </c>
      <c r="H29" s="114">
        <f t="shared" si="7"/>
        <v>0</v>
      </c>
      <c r="I29" s="114"/>
      <c r="J29" s="115" t="s">
        <v>86</v>
      </c>
      <c r="K29" s="116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4"/>
      <c r="BL29" s="114"/>
      <c r="BM29" s="114"/>
      <c r="BN29" s="114"/>
      <c r="BO29" s="114"/>
      <c r="BP29" s="114"/>
      <c r="BQ29" s="114"/>
      <c r="BR29" s="114"/>
      <c r="BS29" s="114"/>
      <c r="BT29" s="114"/>
      <c r="BU29" s="114"/>
      <c r="BV29" s="114"/>
      <c r="BW29" s="114"/>
      <c r="BX29" s="114"/>
      <c r="BY29" s="114"/>
      <c r="BZ29" s="114"/>
      <c r="CA29" s="114"/>
      <c r="CB29" s="114"/>
      <c r="CC29" s="114"/>
      <c r="CD29" s="114"/>
      <c r="CE29" s="114"/>
      <c r="CF29" s="114"/>
      <c r="CG29" s="114"/>
      <c r="CH29" s="114"/>
      <c r="CI29" s="114"/>
      <c r="CJ29" s="114"/>
      <c r="CK29" s="114"/>
      <c r="CL29" s="114"/>
      <c r="CM29" s="114"/>
      <c r="CN29" s="114"/>
      <c r="CO29" s="114"/>
      <c r="CP29" s="114"/>
      <c r="CQ29" s="114"/>
      <c r="CR29" s="114"/>
      <c r="CS29" s="114"/>
      <c r="CT29" s="114"/>
      <c r="CU29" s="114"/>
      <c r="CV29" s="114"/>
      <c r="CW29" s="114"/>
      <c r="CX29" s="114"/>
      <c r="CY29" s="114"/>
      <c r="CZ29" s="114"/>
      <c r="DA29" s="114"/>
      <c r="DB29" s="114"/>
      <c r="DC29" s="114"/>
      <c r="DD29" s="114"/>
      <c r="DE29" s="114"/>
      <c r="DF29" s="114"/>
      <c r="DG29" s="114"/>
      <c r="DH29" s="114"/>
      <c r="DI29" s="114"/>
      <c r="DJ29" s="114"/>
      <c r="DK29" s="114"/>
      <c r="DL29" s="114"/>
      <c r="DM29" s="114"/>
      <c r="DN29" s="114"/>
      <c r="DO29" s="114"/>
      <c r="DP29" s="114"/>
      <c r="DQ29" s="114"/>
      <c r="DR29" s="114"/>
      <c r="DS29" s="114"/>
      <c r="DT29" s="114"/>
      <c r="DU29" s="114"/>
      <c r="DV29" s="114"/>
      <c r="DW29" s="114"/>
      <c r="DX29" s="114"/>
      <c r="DY29" s="114"/>
      <c r="DZ29" s="114"/>
      <c r="EA29" s="114"/>
      <c r="EB29" s="114"/>
      <c r="EC29" s="114"/>
      <c r="ED29" s="114"/>
      <c r="EE29" s="114"/>
      <c r="EF29" s="114"/>
      <c r="EG29" s="114"/>
      <c r="EH29" s="114"/>
      <c r="EI29" s="114"/>
      <c r="EJ29" s="114"/>
      <c r="EK29" s="114"/>
      <c r="EL29" s="114"/>
      <c r="EM29" s="114"/>
      <c r="EN29" s="114"/>
      <c r="EO29" s="114"/>
      <c r="EP29" s="114"/>
      <c r="EQ29" s="114"/>
      <c r="ER29" s="114"/>
      <c r="ES29" s="114"/>
      <c r="ET29" s="114"/>
      <c r="EU29" s="114"/>
      <c r="EV29" s="114"/>
      <c r="EW29" s="114"/>
      <c r="EX29" s="114"/>
      <c r="EY29" s="114"/>
      <c r="EZ29" s="114"/>
      <c r="FA29" s="114"/>
      <c r="FB29" s="114"/>
      <c r="FC29" s="114"/>
      <c r="FD29" s="114"/>
      <c r="FE29" s="114"/>
      <c r="FF29" s="114"/>
      <c r="FG29" s="114"/>
      <c r="FH29" s="114"/>
      <c r="FI29" s="114"/>
      <c r="FJ29" s="114"/>
      <c r="FK29" s="114"/>
      <c r="FL29" s="114"/>
      <c r="FM29" s="114"/>
      <c r="FN29" s="114"/>
      <c r="FO29" s="114"/>
      <c r="FP29" s="114"/>
      <c r="FQ29" s="114"/>
      <c r="FR29" s="114"/>
      <c r="FS29" s="114"/>
      <c r="FT29" s="114"/>
      <c r="FU29" s="114"/>
      <c r="FV29" s="114"/>
      <c r="FW29" s="114"/>
      <c r="FX29" s="114"/>
      <c r="FY29" s="114"/>
      <c r="FZ29" s="114"/>
      <c r="GA29" s="114"/>
      <c r="GB29" s="114"/>
      <c r="GC29" s="114"/>
      <c r="GD29" s="114"/>
      <c r="GE29" s="114"/>
      <c r="GF29" s="114"/>
      <c r="GG29" s="114"/>
      <c r="GH29" s="114"/>
      <c r="GI29" s="114"/>
      <c r="GJ29" s="114"/>
      <c r="GK29" s="114"/>
      <c r="GL29" s="114"/>
      <c r="GM29" s="114"/>
      <c r="GN29" s="114"/>
      <c r="GO29" s="114"/>
      <c r="GP29" s="114"/>
      <c r="GQ29" s="114"/>
      <c r="GR29" s="114"/>
      <c r="GS29" s="114"/>
      <c r="GT29" s="114"/>
      <c r="GU29" s="114"/>
      <c r="GV29" s="114"/>
      <c r="GW29" s="114"/>
      <c r="GX29" s="114"/>
      <c r="GY29" s="114"/>
      <c r="GZ29" s="114"/>
      <c r="HA29" s="114"/>
      <c r="HB29" s="114"/>
      <c r="HC29" s="114"/>
      <c r="HD29" s="114"/>
      <c r="HE29" s="114"/>
      <c r="HF29" s="114"/>
      <c r="HG29" s="114"/>
      <c r="HH29" s="114"/>
      <c r="HI29" s="114"/>
      <c r="HJ29" s="114"/>
      <c r="HK29" s="114"/>
      <c r="HL29" s="114"/>
      <c r="HM29" s="114"/>
      <c r="HN29" s="114"/>
      <c r="HO29" s="114"/>
      <c r="HP29" s="114"/>
      <c r="HQ29" s="114"/>
      <c r="HR29" s="114"/>
      <c r="HS29" s="114"/>
      <c r="HT29" s="114"/>
      <c r="HU29" s="114"/>
      <c r="HV29" s="114"/>
      <c r="HW29" s="114"/>
      <c r="HX29" s="114"/>
      <c r="HY29" s="114"/>
      <c r="HZ29" s="114"/>
      <c r="IA29" s="114"/>
      <c r="IB29" s="114"/>
      <c r="IC29" s="114"/>
      <c r="ID29" s="114"/>
      <c r="IE29" s="114"/>
      <c r="IF29" s="114"/>
      <c r="IG29" s="114"/>
      <c r="IH29" s="114"/>
      <c r="II29" s="114"/>
      <c r="IJ29" s="114"/>
      <c r="IK29" s="114"/>
      <c r="IL29" s="114"/>
      <c r="IM29" s="114"/>
      <c r="IN29" s="114"/>
      <c r="IO29" s="114"/>
      <c r="IP29" s="114"/>
      <c r="IQ29" s="114"/>
      <c r="IR29" s="114"/>
      <c r="IS29" s="114"/>
      <c r="IT29" s="114"/>
    </row>
    <row r="30" spans="1:254" s="117" customFormat="1" ht="14.1" customHeight="1" x14ac:dyDescent="0.2">
      <c r="A30" s="118">
        <v>43402</v>
      </c>
      <c r="B30" s="122" t="s">
        <v>87</v>
      </c>
      <c r="C30" s="104" t="s">
        <v>80</v>
      </c>
      <c r="D30" s="114"/>
      <c r="E30" s="114">
        <f t="shared" si="9"/>
        <v>0</v>
      </c>
      <c r="F30" s="114"/>
      <c r="G30" s="114">
        <f t="shared" si="6"/>
        <v>0</v>
      </c>
      <c r="H30" s="114">
        <f t="shared" si="7"/>
        <v>0</v>
      </c>
      <c r="I30" s="114">
        <v>23272.84</v>
      </c>
      <c r="J30" s="115"/>
      <c r="K30" s="116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/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/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114"/>
      <c r="DM30" s="114"/>
      <c r="DN30" s="114"/>
      <c r="DO30" s="114"/>
      <c r="DP30" s="114"/>
      <c r="DQ30" s="114"/>
      <c r="DR30" s="114"/>
      <c r="DS30" s="114"/>
      <c r="DT30" s="114"/>
      <c r="DU30" s="114"/>
      <c r="DV30" s="114"/>
      <c r="DW30" s="114"/>
      <c r="DX30" s="114"/>
      <c r="DY30" s="114"/>
      <c r="DZ30" s="114"/>
      <c r="EA30" s="114"/>
      <c r="EB30" s="114"/>
      <c r="EC30" s="114"/>
      <c r="ED30" s="114"/>
      <c r="EE30" s="114"/>
      <c r="EF30" s="114"/>
      <c r="EG30" s="114"/>
      <c r="EH30" s="114"/>
      <c r="EI30" s="114"/>
      <c r="EJ30" s="114"/>
      <c r="EK30" s="114"/>
      <c r="EL30" s="114"/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/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/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/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/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114"/>
      <c r="ID30" s="114"/>
      <c r="IE30" s="114"/>
      <c r="IF30" s="114"/>
      <c r="IG30" s="114"/>
      <c r="IH30" s="114"/>
      <c r="II30" s="114"/>
      <c r="IJ30" s="114"/>
      <c r="IK30" s="114"/>
      <c r="IL30" s="114"/>
      <c r="IM30" s="114"/>
      <c r="IN30" s="114"/>
      <c r="IO30" s="114"/>
      <c r="IP30" s="114"/>
      <c r="IQ30" s="114"/>
      <c r="IR30" s="114"/>
      <c r="IS30" s="114"/>
      <c r="IT30" s="114"/>
    </row>
    <row r="31" spans="1:254" s="117" customFormat="1" ht="14.1" customHeight="1" x14ac:dyDescent="0.2">
      <c r="A31" s="118">
        <v>43411</v>
      </c>
      <c r="B31" s="112" t="s">
        <v>88</v>
      </c>
      <c r="C31" s="119" t="s">
        <v>80</v>
      </c>
      <c r="D31" s="114"/>
      <c r="E31" s="114">
        <f t="shared" si="9"/>
        <v>0</v>
      </c>
      <c r="F31" s="114"/>
      <c r="G31" s="114">
        <v>28800</v>
      </c>
      <c r="H31" s="114">
        <f t="shared" si="7"/>
        <v>0</v>
      </c>
      <c r="I31" s="114"/>
      <c r="J31" s="115" t="s">
        <v>89</v>
      </c>
      <c r="K31" s="116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4"/>
      <c r="CG31" s="114"/>
      <c r="CH31" s="114"/>
      <c r="CI31" s="114"/>
      <c r="CJ31" s="114"/>
      <c r="CK31" s="114"/>
      <c r="CL31" s="114"/>
      <c r="CM31" s="114"/>
      <c r="CN31" s="114"/>
      <c r="CO31" s="114"/>
      <c r="CP31" s="114"/>
      <c r="CQ31" s="114"/>
      <c r="CR31" s="114"/>
      <c r="CS31" s="114"/>
      <c r="CT31" s="114"/>
      <c r="CU31" s="114"/>
      <c r="CV31" s="114"/>
      <c r="CW31" s="114"/>
      <c r="CX31" s="114"/>
      <c r="CY31" s="114"/>
      <c r="CZ31" s="114"/>
      <c r="DA31" s="114"/>
      <c r="DB31" s="114"/>
      <c r="DC31" s="114"/>
      <c r="DD31" s="114"/>
      <c r="DE31" s="114"/>
      <c r="DF31" s="114"/>
      <c r="DG31" s="114"/>
      <c r="DH31" s="114"/>
      <c r="DI31" s="114"/>
      <c r="DJ31" s="114"/>
      <c r="DK31" s="114"/>
      <c r="DL31" s="114"/>
      <c r="DM31" s="114"/>
      <c r="DN31" s="114"/>
      <c r="DO31" s="114"/>
      <c r="DP31" s="114"/>
      <c r="DQ31" s="114"/>
      <c r="DR31" s="114"/>
      <c r="DS31" s="114"/>
      <c r="DT31" s="114"/>
      <c r="DU31" s="114"/>
      <c r="DV31" s="114"/>
      <c r="DW31" s="114"/>
      <c r="DX31" s="114"/>
      <c r="DY31" s="114"/>
      <c r="DZ31" s="114"/>
      <c r="EA31" s="114"/>
      <c r="EB31" s="114"/>
      <c r="EC31" s="114"/>
      <c r="ED31" s="114"/>
      <c r="EE31" s="114"/>
      <c r="EF31" s="114"/>
      <c r="EG31" s="114"/>
      <c r="EH31" s="114"/>
      <c r="EI31" s="114"/>
      <c r="EJ31" s="114"/>
      <c r="EK31" s="114"/>
      <c r="EL31" s="114"/>
      <c r="EM31" s="114"/>
      <c r="EN31" s="114"/>
      <c r="EO31" s="114"/>
      <c r="EP31" s="114"/>
      <c r="EQ31" s="114"/>
      <c r="ER31" s="114"/>
      <c r="ES31" s="114"/>
      <c r="ET31" s="114"/>
      <c r="EU31" s="114"/>
      <c r="EV31" s="114"/>
      <c r="EW31" s="114"/>
      <c r="EX31" s="114"/>
      <c r="EY31" s="114"/>
      <c r="EZ31" s="114"/>
      <c r="FA31" s="114"/>
      <c r="FB31" s="114"/>
      <c r="FC31" s="114"/>
      <c r="FD31" s="114"/>
      <c r="FE31" s="114"/>
      <c r="FF31" s="114"/>
      <c r="FG31" s="114"/>
      <c r="FH31" s="114"/>
      <c r="FI31" s="114"/>
      <c r="FJ31" s="114"/>
      <c r="FK31" s="114"/>
      <c r="FL31" s="114"/>
      <c r="FM31" s="114"/>
      <c r="FN31" s="114"/>
      <c r="FO31" s="114"/>
      <c r="FP31" s="114"/>
      <c r="FQ31" s="114"/>
      <c r="FR31" s="114"/>
      <c r="FS31" s="114"/>
      <c r="FT31" s="114"/>
      <c r="FU31" s="114"/>
      <c r="FV31" s="114"/>
      <c r="FW31" s="114"/>
      <c r="FX31" s="114"/>
      <c r="FY31" s="114"/>
      <c r="FZ31" s="114"/>
      <c r="GA31" s="114"/>
      <c r="GB31" s="114"/>
      <c r="GC31" s="114"/>
      <c r="GD31" s="114"/>
      <c r="GE31" s="114"/>
      <c r="GF31" s="114"/>
      <c r="GG31" s="114"/>
      <c r="GH31" s="114"/>
      <c r="GI31" s="114"/>
      <c r="GJ31" s="114"/>
      <c r="GK31" s="114"/>
      <c r="GL31" s="114"/>
      <c r="GM31" s="114"/>
      <c r="GN31" s="114"/>
      <c r="GO31" s="114"/>
      <c r="GP31" s="114"/>
      <c r="GQ31" s="114"/>
      <c r="GR31" s="114"/>
      <c r="GS31" s="114"/>
      <c r="GT31" s="114"/>
      <c r="GU31" s="114"/>
      <c r="GV31" s="114"/>
      <c r="GW31" s="114"/>
      <c r="GX31" s="114"/>
      <c r="GY31" s="114"/>
      <c r="GZ31" s="114"/>
      <c r="HA31" s="114"/>
      <c r="HB31" s="114"/>
      <c r="HC31" s="114"/>
      <c r="HD31" s="114"/>
      <c r="HE31" s="114"/>
      <c r="HF31" s="114"/>
      <c r="HG31" s="114"/>
      <c r="HH31" s="114"/>
      <c r="HI31" s="114"/>
      <c r="HJ31" s="114"/>
      <c r="HK31" s="114"/>
      <c r="HL31" s="114"/>
      <c r="HM31" s="114"/>
      <c r="HN31" s="114"/>
      <c r="HO31" s="114"/>
      <c r="HP31" s="114"/>
      <c r="HQ31" s="114"/>
      <c r="HR31" s="114"/>
      <c r="HS31" s="114"/>
      <c r="HT31" s="114"/>
      <c r="HU31" s="114"/>
      <c r="HV31" s="114"/>
      <c r="HW31" s="114"/>
      <c r="HX31" s="114"/>
      <c r="HY31" s="114"/>
      <c r="HZ31" s="114"/>
      <c r="IA31" s="114"/>
      <c r="IB31" s="114"/>
      <c r="IC31" s="114"/>
      <c r="ID31" s="114"/>
      <c r="IE31" s="114"/>
      <c r="IF31" s="114"/>
      <c r="IG31" s="114"/>
      <c r="IH31" s="114"/>
      <c r="II31" s="114"/>
      <c r="IJ31" s="114"/>
      <c r="IK31" s="114"/>
      <c r="IL31" s="114"/>
      <c r="IM31" s="114"/>
      <c r="IN31" s="114"/>
      <c r="IO31" s="114"/>
      <c r="IP31" s="114"/>
      <c r="IQ31" s="114"/>
      <c r="IR31" s="114"/>
      <c r="IS31" s="114"/>
      <c r="IT31" s="114"/>
    </row>
    <row r="32" spans="1:254" s="117" customFormat="1" ht="14.1" customHeight="1" x14ac:dyDescent="0.2">
      <c r="A32" s="118">
        <v>43423</v>
      </c>
      <c r="B32" s="112" t="s">
        <v>90</v>
      </c>
      <c r="C32" s="119" t="s">
        <v>81</v>
      </c>
      <c r="D32" s="114"/>
      <c r="E32" s="114">
        <f t="shared" si="9"/>
        <v>0</v>
      </c>
      <c r="F32" s="114">
        <v>4850</v>
      </c>
      <c r="G32" s="114">
        <f t="shared" si="6"/>
        <v>4850</v>
      </c>
      <c r="H32" s="114">
        <f t="shared" si="7"/>
        <v>0</v>
      </c>
      <c r="I32" s="114"/>
      <c r="J32" s="115"/>
      <c r="K32" s="116">
        <v>6861</v>
      </c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  <c r="CH32" s="114"/>
      <c r="CI32" s="114"/>
      <c r="CJ32" s="114"/>
      <c r="CK32" s="114"/>
      <c r="CL32" s="114"/>
      <c r="CM32" s="114"/>
      <c r="CN32" s="114"/>
      <c r="CO32" s="114"/>
      <c r="CP32" s="114"/>
      <c r="CQ32" s="114"/>
      <c r="CR32" s="114"/>
      <c r="CS32" s="114"/>
      <c r="CT32" s="114"/>
      <c r="CU32" s="114"/>
      <c r="CV32" s="114"/>
      <c r="CW32" s="114"/>
      <c r="CX32" s="114"/>
      <c r="CY32" s="114"/>
      <c r="CZ32" s="114"/>
      <c r="DA32" s="114"/>
      <c r="DB32" s="114"/>
      <c r="DC32" s="114"/>
      <c r="DD32" s="114"/>
      <c r="DE32" s="114"/>
      <c r="DF32" s="114"/>
      <c r="DG32" s="114"/>
      <c r="DH32" s="114"/>
      <c r="DI32" s="114"/>
      <c r="DJ32" s="114"/>
      <c r="DK32" s="114"/>
      <c r="DL32" s="114"/>
      <c r="DM32" s="114"/>
      <c r="DN32" s="114"/>
      <c r="DO32" s="114"/>
      <c r="DP32" s="114"/>
      <c r="DQ32" s="114"/>
      <c r="DR32" s="114"/>
      <c r="DS32" s="114"/>
      <c r="DT32" s="114"/>
      <c r="DU32" s="114"/>
      <c r="DV32" s="114"/>
      <c r="DW32" s="114"/>
      <c r="DX32" s="114"/>
      <c r="DY32" s="114"/>
      <c r="DZ32" s="114"/>
      <c r="EA32" s="114"/>
      <c r="EB32" s="114"/>
      <c r="EC32" s="114"/>
      <c r="ED32" s="114"/>
      <c r="EE32" s="114"/>
      <c r="EF32" s="114"/>
      <c r="EG32" s="114"/>
      <c r="EH32" s="114"/>
      <c r="EI32" s="114"/>
      <c r="EJ32" s="114"/>
      <c r="EK32" s="114"/>
      <c r="EL32" s="114"/>
      <c r="EM32" s="114"/>
      <c r="EN32" s="114"/>
      <c r="EO32" s="114"/>
      <c r="EP32" s="114"/>
      <c r="EQ32" s="114"/>
      <c r="ER32" s="114"/>
      <c r="ES32" s="114"/>
      <c r="ET32" s="114"/>
      <c r="EU32" s="114"/>
      <c r="EV32" s="114"/>
      <c r="EW32" s="114"/>
      <c r="EX32" s="114"/>
      <c r="EY32" s="114"/>
      <c r="EZ32" s="114"/>
      <c r="FA32" s="114"/>
      <c r="FB32" s="114"/>
      <c r="FC32" s="114"/>
      <c r="FD32" s="114"/>
      <c r="FE32" s="114"/>
      <c r="FF32" s="114"/>
      <c r="FG32" s="114"/>
      <c r="FH32" s="114"/>
      <c r="FI32" s="114"/>
      <c r="FJ32" s="114"/>
      <c r="FK32" s="114"/>
      <c r="FL32" s="114"/>
      <c r="FM32" s="114"/>
      <c r="FN32" s="114"/>
      <c r="FO32" s="114"/>
      <c r="FP32" s="114"/>
      <c r="FQ32" s="114"/>
      <c r="FR32" s="114"/>
      <c r="FS32" s="114"/>
      <c r="FT32" s="114"/>
      <c r="FU32" s="114"/>
      <c r="FV32" s="114"/>
      <c r="FW32" s="114"/>
      <c r="FX32" s="114"/>
      <c r="FY32" s="114"/>
      <c r="FZ32" s="114"/>
      <c r="GA32" s="114"/>
      <c r="GB32" s="114"/>
      <c r="GC32" s="114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GT32" s="114"/>
      <c r="GU32" s="114"/>
      <c r="GV32" s="114"/>
      <c r="GW32" s="114"/>
      <c r="GX32" s="114"/>
      <c r="GY32" s="114"/>
      <c r="GZ32" s="114"/>
      <c r="HA32" s="114"/>
      <c r="HB32" s="114"/>
      <c r="HC32" s="114"/>
      <c r="HD32" s="114"/>
      <c r="HE32" s="114"/>
      <c r="HF32" s="114"/>
      <c r="HG32" s="114"/>
      <c r="HH32" s="114"/>
      <c r="HI32" s="114"/>
      <c r="HJ32" s="114"/>
      <c r="HK32" s="114"/>
      <c r="HL32" s="114"/>
      <c r="HM32" s="114"/>
      <c r="HN32" s="114"/>
      <c r="HO32" s="114"/>
      <c r="HP32" s="114"/>
      <c r="HQ32" s="114"/>
      <c r="HR32" s="114"/>
      <c r="HS32" s="114"/>
      <c r="HT32" s="114"/>
      <c r="HU32" s="114"/>
      <c r="HV32" s="114"/>
      <c r="HW32" s="114"/>
      <c r="HX32" s="114"/>
      <c r="HY32" s="114"/>
      <c r="HZ32" s="114"/>
      <c r="IA32" s="114"/>
      <c r="IB32" s="114"/>
      <c r="IC32" s="114"/>
      <c r="ID32" s="114"/>
      <c r="IE32" s="114"/>
      <c r="IF32" s="114"/>
      <c r="IG32" s="114"/>
      <c r="IH32" s="114"/>
      <c r="II32" s="114"/>
      <c r="IJ32" s="114"/>
      <c r="IK32" s="114"/>
      <c r="IL32" s="114"/>
      <c r="IM32" s="114"/>
      <c r="IN32" s="114"/>
      <c r="IO32" s="114"/>
      <c r="IP32" s="114"/>
      <c r="IQ32" s="114"/>
      <c r="IR32" s="114"/>
      <c r="IS32" s="114"/>
      <c r="IT32" s="114"/>
    </row>
    <row r="33" spans="1:254" s="117" customFormat="1" ht="14.1" customHeight="1" x14ac:dyDescent="0.2">
      <c r="A33" s="118">
        <v>43423</v>
      </c>
      <c r="B33" s="112" t="s">
        <v>91</v>
      </c>
      <c r="C33" s="119" t="s">
        <v>81</v>
      </c>
      <c r="D33" s="114"/>
      <c r="E33" s="114">
        <f t="shared" si="9"/>
        <v>0</v>
      </c>
      <c r="F33" s="114">
        <v>726</v>
      </c>
      <c r="G33" s="114">
        <f t="shared" si="6"/>
        <v>0</v>
      </c>
      <c r="H33" s="114">
        <f t="shared" si="7"/>
        <v>0</v>
      </c>
      <c r="I33" s="114"/>
      <c r="J33" s="115" t="s">
        <v>89</v>
      </c>
      <c r="K33" s="116">
        <v>6849</v>
      </c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4"/>
      <c r="CZ33" s="114"/>
      <c r="DA33" s="114"/>
      <c r="DB33" s="114"/>
      <c r="DC33" s="114"/>
      <c r="DD33" s="114"/>
      <c r="DE33" s="114"/>
      <c r="DF33" s="114"/>
      <c r="DG33" s="114"/>
      <c r="DH33" s="114"/>
      <c r="DI33" s="114"/>
      <c r="DJ33" s="114"/>
      <c r="DK33" s="114"/>
      <c r="DL33" s="114"/>
      <c r="DM33" s="114"/>
      <c r="DN33" s="114"/>
      <c r="DO33" s="114"/>
      <c r="DP33" s="114"/>
      <c r="DQ33" s="114"/>
      <c r="DR33" s="114"/>
      <c r="DS33" s="114"/>
      <c r="DT33" s="114"/>
      <c r="DU33" s="114"/>
      <c r="DV33" s="114"/>
      <c r="DW33" s="114"/>
      <c r="DX33" s="114"/>
      <c r="DY33" s="114"/>
      <c r="DZ33" s="114"/>
      <c r="EA33" s="114"/>
      <c r="EB33" s="114"/>
      <c r="EC33" s="114"/>
      <c r="ED33" s="114"/>
      <c r="EE33" s="114"/>
      <c r="EF33" s="114"/>
      <c r="EG33" s="114"/>
      <c r="EH33" s="114"/>
      <c r="EI33" s="114"/>
      <c r="EJ33" s="114"/>
      <c r="EK33" s="114"/>
      <c r="EL33" s="114"/>
      <c r="EM33" s="114"/>
      <c r="EN33" s="114"/>
      <c r="EO33" s="114"/>
      <c r="EP33" s="114"/>
      <c r="EQ33" s="114"/>
      <c r="ER33" s="114"/>
      <c r="ES33" s="114"/>
      <c r="ET33" s="114"/>
      <c r="EU33" s="114"/>
      <c r="EV33" s="114"/>
      <c r="EW33" s="114"/>
      <c r="EX33" s="114"/>
      <c r="EY33" s="114"/>
      <c r="EZ33" s="114"/>
      <c r="FA33" s="114"/>
      <c r="FB33" s="114"/>
      <c r="FC33" s="114"/>
      <c r="FD33" s="114"/>
      <c r="FE33" s="114"/>
      <c r="FF33" s="114"/>
      <c r="FG33" s="114"/>
      <c r="FH33" s="114"/>
      <c r="FI33" s="114"/>
      <c r="FJ33" s="114"/>
      <c r="FK33" s="114"/>
      <c r="FL33" s="114"/>
      <c r="FM33" s="114"/>
      <c r="FN33" s="114"/>
      <c r="FO33" s="114"/>
      <c r="FP33" s="114"/>
      <c r="FQ33" s="114"/>
      <c r="FR33" s="114"/>
      <c r="FS33" s="114"/>
      <c r="FT33" s="114"/>
      <c r="FU33" s="114"/>
      <c r="FV33" s="114"/>
      <c r="FW33" s="114"/>
      <c r="FX33" s="114"/>
      <c r="FY33" s="114"/>
      <c r="FZ33" s="114"/>
      <c r="GA33" s="114"/>
      <c r="GB33" s="114"/>
      <c r="GC33" s="114"/>
      <c r="GD33" s="114"/>
      <c r="GE33" s="114"/>
      <c r="GF33" s="114"/>
      <c r="GG33" s="114"/>
      <c r="GH33" s="114"/>
      <c r="GI33" s="114"/>
      <c r="GJ33" s="114"/>
      <c r="GK33" s="114"/>
      <c r="GL33" s="114"/>
      <c r="GM33" s="114"/>
      <c r="GN33" s="114"/>
      <c r="GO33" s="114"/>
      <c r="GP33" s="114"/>
      <c r="GQ33" s="114"/>
      <c r="GR33" s="114"/>
      <c r="GS33" s="114"/>
      <c r="GT33" s="114"/>
      <c r="GU33" s="114"/>
      <c r="GV33" s="114"/>
      <c r="GW33" s="114"/>
      <c r="GX33" s="114"/>
      <c r="GY33" s="114"/>
      <c r="GZ33" s="114"/>
      <c r="HA33" s="114"/>
      <c r="HB33" s="114"/>
      <c r="HC33" s="114"/>
      <c r="HD33" s="114"/>
      <c r="HE33" s="114"/>
      <c r="HF33" s="114"/>
      <c r="HG33" s="114"/>
      <c r="HH33" s="114"/>
      <c r="HI33" s="114"/>
      <c r="HJ33" s="114"/>
      <c r="HK33" s="114"/>
      <c r="HL33" s="114"/>
      <c r="HM33" s="114"/>
      <c r="HN33" s="114"/>
      <c r="HO33" s="114"/>
      <c r="HP33" s="114"/>
      <c r="HQ33" s="114"/>
      <c r="HR33" s="114"/>
      <c r="HS33" s="114"/>
      <c r="HT33" s="114"/>
      <c r="HU33" s="114"/>
      <c r="HV33" s="114"/>
      <c r="HW33" s="114"/>
      <c r="HX33" s="114"/>
      <c r="HY33" s="114"/>
      <c r="HZ33" s="114"/>
      <c r="IA33" s="114"/>
      <c r="IB33" s="114"/>
      <c r="IC33" s="114"/>
      <c r="ID33" s="114"/>
      <c r="IE33" s="114"/>
      <c r="IF33" s="114"/>
      <c r="IG33" s="114"/>
      <c r="IH33" s="114"/>
      <c r="II33" s="114"/>
      <c r="IJ33" s="114"/>
      <c r="IK33" s="114"/>
      <c r="IL33" s="114"/>
      <c r="IM33" s="114"/>
      <c r="IN33" s="114"/>
      <c r="IO33" s="114"/>
      <c r="IP33" s="114"/>
      <c r="IQ33" s="114"/>
      <c r="IR33" s="114"/>
      <c r="IS33" s="114"/>
      <c r="IT33" s="114"/>
    </row>
    <row r="34" spans="1:254" s="117" customFormat="1" ht="14.1" customHeight="1" x14ac:dyDescent="0.2">
      <c r="A34" s="118">
        <v>43431</v>
      </c>
      <c r="B34" s="112" t="s">
        <v>92</v>
      </c>
      <c r="C34" s="119" t="s">
        <v>81</v>
      </c>
      <c r="D34" s="114"/>
      <c r="E34" s="114">
        <f t="shared" si="9"/>
        <v>0</v>
      </c>
      <c r="F34" s="114">
        <v>39500</v>
      </c>
      <c r="G34" s="114">
        <f t="shared" si="6"/>
        <v>39500</v>
      </c>
      <c r="H34" s="114">
        <f t="shared" si="7"/>
        <v>0</v>
      </c>
      <c r="I34" s="114"/>
      <c r="J34" s="115"/>
      <c r="K34" s="116">
        <v>6137</v>
      </c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  <c r="DJ34" s="114"/>
      <c r="DK34" s="114"/>
      <c r="DL34" s="114"/>
      <c r="DM34" s="114"/>
      <c r="DN34" s="114"/>
      <c r="DO34" s="114"/>
      <c r="DP34" s="114"/>
      <c r="DQ34" s="114"/>
      <c r="DR34" s="114"/>
      <c r="DS34" s="114"/>
      <c r="DT34" s="114"/>
      <c r="DU34" s="114"/>
      <c r="DV34" s="114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4"/>
      <c r="EH34" s="114"/>
      <c r="EI34" s="114"/>
      <c r="EJ34" s="114"/>
      <c r="EK34" s="114"/>
      <c r="EL34" s="114"/>
      <c r="EM34" s="114"/>
      <c r="EN34" s="114"/>
      <c r="EO34" s="114"/>
      <c r="EP34" s="114"/>
      <c r="EQ34" s="114"/>
      <c r="ER34" s="114"/>
      <c r="ES34" s="114"/>
      <c r="ET34" s="114"/>
      <c r="EU34" s="114"/>
      <c r="EV34" s="114"/>
      <c r="EW34" s="114"/>
      <c r="EX34" s="114"/>
      <c r="EY34" s="114"/>
      <c r="EZ34" s="114"/>
      <c r="FA34" s="114"/>
      <c r="FB34" s="114"/>
      <c r="FC34" s="114"/>
      <c r="FD34" s="114"/>
      <c r="FE34" s="114"/>
      <c r="FF34" s="114"/>
      <c r="FG34" s="114"/>
      <c r="FH34" s="114"/>
      <c r="FI34" s="114"/>
      <c r="FJ34" s="114"/>
      <c r="FK34" s="114"/>
      <c r="FL34" s="114"/>
      <c r="FM34" s="114"/>
      <c r="FN34" s="114"/>
      <c r="FO34" s="114"/>
      <c r="FP34" s="114"/>
      <c r="FQ34" s="114"/>
      <c r="FR34" s="114"/>
      <c r="FS34" s="114"/>
      <c r="FT34" s="114"/>
      <c r="FU34" s="114"/>
      <c r="FV34" s="114"/>
      <c r="FW34" s="114"/>
      <c r="FX34" s="114"/>
      <c r="FY34" s="114"/>
      <c r="FZ34" s="114"/>
      <c r="GA34" s="114"/>
      <c r="GB34" s="114"/>
      <c r="GC34" s="114"/>
      <c r="GD34" s="114"/>
      <c r="GE34" s="114"/>
      <c r="GF34" s="114"/>
      <c r="GG34" s="114"/>
      <c r="GH34" s="114"/>
      <c r="GI34" s="114"/>
      <c r="GJ34" s="114"/>
      <c r="GK34" s="114"/>
      <c r="GL34" s="114"/>
      <c r="GM34" s="114"/>
      <c r="GN34" s="114"/>
      <c r="GO34" s="114"/>
      <c r="GP34" s="114"/>
      <c r="GQ34" s="114"/>
      <c r="GR34" s="114"/>
      <c r="GS34" s="114"/>
      <c r="GT34" s="114"/>
      <c r="GU34" s="114"/>
      <c r="GV34" s="114"/>
      <c r="GW34" s="114"/>
      <c r="GX34" s="114"/>
      <c r="GY34" s="114"/>
      <c r="GZ34" s="114"/>
      <c r="HA34" s="114"/>
      <c r="HB34" s="114"/>
      <c r="HC34" s="114"/>
      <c r="HD34" s="114"/>
      <c r="HE34" s="114"/>
      <c r="HF34" s="114"/>
      <c r="HG34" s="114"/>
      <c r="HH34" s="114"/>
      <c r="HI34" s="114"/>
      <c r="HJ34" s="114"/>
      <c r="HK34" s="114"/>
      <c r="HL34" s="114"/>
      <c r="HM34" s="114"/>
      <c r="HN34" s="114"/>
      <c r="HO34" s="114"/>
      <c r="HP34" s="114"/>
      <c r="HQ34" s="114"/>
      <c r="HR34" s="114"/>
      <c r="HS34" s="114"/>
      <c r="HT34" s="114"/>
      <c r="HU34" s="114"/>
      <c r="HV34" s="114"/>
      <c r="HW34" s="114"/>
      <c r="HX34" s="114"/>
      <c r="HY34" s="114"/>
      <c r="HZ34" s="114"/>
      <c r="IA34" s="114"/>
      <c r="IB34" s="114"/>
      <c r="IC34" s="114"/>
      <c r="ID34" s="114"/>
      <c r="IE34" s="114"/>
      <c r="IF34" s="114"/>
      <c r="IG34" s="114"/>
      <c r="IH34" s="114"/>
      <c r="II34" s="114"/>
      <c r="IJ34" s="114"/>
      <c r="IK34" s="114"/>
      <c r="IL34" s="114"/>
      <c r="IM34" s="114"/>
      <c r="IN34" s="114"/>
      <c r="IO34" s="114"/>
      <c r="IP34" s="114"/>
      <c r="IQ34" s="114"/>
      <c r="IR34" s="114"/>
      <c r="IS34" s="114"/>
      <c r="IT34" s="114"/>
    </row>
    <row r="35" spans="1:254" s="11" customFormat="1" ht="14.1" customHeight="1" x14ac:dyDescent="0.2">
      <c r="A35" s="7">
        <v>43446</v>
      </c>
      <c r="B35" s="109" t="s">
        <v>93</v>
      </c>
      <c r="C35" s="104" t="s">
        <v>80</v>
      </c>
      <c r="D35" s="9"/>
      <c r="E35" s="9">
        <f t="shared" si="9"/>
        <v>0</v>
      </c>
      <c r="F35" s="9"/>
      <c r="G35" s="9">
        <f t="shared" si="6"/>
        <v>0</v>
      </c>
      <c r="H35" s="9">
        <f t="shared" si="7"/>
        <v>0</v>
      </c>
      <c r="I35" s="9"/>
      <c r="J35" s="44"/>
      <c r="K35" s="10"/>
      <c r="L35" s="9">
        <v>5201.08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7">
        <v>43405</v>
      </c>
      <c r="B36" s="8" t="s">
        <v>94</v>
      </c>
      <c r="C36" s="104" t="s">
        <v>80</v>
      </c>
      <c r="D36" s="9"/>
      <c r="E36" s="9">
        <f t="shared" si="9"/>
        <v>0</v>
      </c>
      <c r="F36" s="9"/>
      <c r="G36" s="9">
        <v>-9900</v>
      </c>
      <c r="H36" s="9">
        <f t="shared" ref="H36:H51" si="10">+D36</f>
        <v>0</v>
      </c>
      <c r="I36" s="9"/>
      <c r="J36" s="44" t="s">
        <v>79</v>
      </c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7">
        <v>43468</v>
      </c>
      <c r="B37" s="8" t="s">
        <v>95</v>
      </c>
      <c r="C37" s="104" t="s">
        <v>81</v>
      </c>
      <c r="D37" s="9"/>
      <c r="E37" s="9">
        <f t="shared" si="9"/>
        <v>0</v>
      </c>
      <c r="F37" s="9">
        <v>2000</v>
      </c>
      <c r="G37" s="9">
        <f t="shared" ref="G37:G51" si="11">IF(J37&gt;0,0,F37)</f>
        <v>0</v>
      </c>
      <c r="H37" s="9">
        <f t="shared" si="10"/>
        <v>0</v>
      </c>
      <c r="I37" s="9"/>
      <c r="J37" s="44" t="s">
        <v>79</v>
      </c>
      <c r="K37" s="10">
        <v>6849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7">
        <v>43474</v>
      </c>
      <c r="B38" s="109" t="s">
        <v>96</v>
      </c>
      <c r="C38" s="104" t="s">
        <v>80</v>
      </c>
      <c r="D38" s="9"/>
      <c r="E38" s="9">
        <f t="shared" si="9"/>
        <v>0</v>
      </c>
      <c r="F38" s="9"/>
      <c r="G38" s="9">
        <f t="shared" si="11"/>
        <v>0</v>
      </c>
      <c r="H38" s="9">
        <f t="shared" si="10"/>
        <v>0</v>
      </c>
      <c r="I38" s="9"/>
      <c r="J38" s="44"/>
      <c r="K38" s="10"/>
      <c r="L38" s="9">
        <v>230.77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7">
        <v>43479</v>
      </c>
      <c r="B39" s="110" t="s">
        <v>97</v>
      </c>
      <c r="C39" s="104" t="s">
        <v>81</v>
      </c>
      <c r="D39" s="9"/>
      <c r="E39" s="9">
        <f t="shared" si="9"/>
        <v>0</v>
      </c>
      <c r="F39" s="9">
        <v>9805</v>
      </c>
      <c r="G39" s="9">
        <f t="shared" si="11"/>
        <v>9805</v>
      </c>
      <c r="H39" s="9">
        <f t="shared" si="10"/>
        <v>0</v>
      </c>
      <c r="I39" s="9"/>
      <c r="J39" s="44"/>
      <c r="K39" s="10">
        <v>6872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7">
        <v>43476</v>
      </c>
      <c r="B40" s="8" t="s">
        <v>98</v>
      </c>
      <c r="C40" s="104" t="s">
        <v>81</v>
      </c>
      <c r="D40" s="9"/>
      <c r="E40" s="9">
        <f t="shared" ref="E40:E55" si="12">+D40</f>
        <v>0</v>
      </c>
      <c r="F40" s="9">
        <v>118316.03</v>
      </c>
      <c r="G40" s="9">
        <f t="shared" si="11"/>
        <v>0</v>
      </c>
      <c r="H40" s="9">
        <f t="shared" si="10"/>
        <v>0</v>
      </c>
      <c r="I40" s="9"/>
      <c r="J40" s="44" t="s">
        <v>84</v>
      </c>
      <c r="K40" s="10">
        <v>6861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7">
        <v>43480</v>
      </c>
      <c r="B41" s="8" t="s">
        <v>99</v>
      </c>
      <c r="C41" s="104" t="s">
        <v>81</v>
      </c>
      <c r="D41" s="9"/>
      <c r="E41" s="9">
        <f t="shared" si="12"/>
        <v>0</v>
      </c>
      <c r="F41" s="9">
        <v>880</v>
      </c>
      <c r="G41" s="9">
        <f t="shared" si="11"/>
        <v>880</v>
      </c>
      <c r="H41" s="9">
        <f t="shared" si="10"/>
        <v>0</v>
      </c>
      <c r="I41" s="9"/>
      <c r="J41" s="44"/>
      <c r="K41" s="10">
        <v>6861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7">
        <v>43494</v>
      </c>
      <c r="B42" s="8" t="s">
        <v>100</v>
      </c>
      <c r="C42" s="104" t="s">
        <v>80</v>
      </c>
      <c r="D42" s="9"/>
      <c r="E42" s="9">
        <f t="shared" si="12"/>
        <v>0</v>
      </c>
      <c r="F42" s="9"/>
      <c r="G42" s="9">
        <v>85000</v>
      </c>
      <c r="H42" s="9">
        <f t="shared" si="10"/>
        <v>0</v>
      </c>
      <c r="I42" s="9"/>
      <c r="J42" s="44" t="s">
        <v>101</v>
      </c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7">
        <v>43483</v>
      </c>
      <c r="B43" s="109" t="s">
        <v>102</v>
      </c>
      <c r="C43" s="104" t="s">
        <v>80</v>
      </c>
      <c r="D43" s="9"/>
      <c r="E43" s="9">
        <f t="shared" si="12"/>
        <v>0</v>
      </c>
      <c r="F43" s="9"/>
      <c r="G43" s="9">
        <f t="shared" si="11"/>
        <v>0</v>
      </c>
      <c r="H43" s="9">
        <f t="shared" si="10"/>
        <v>0</v>
      </c>
      <c r="I43" s="9">
        <v>5201.08</v>
      </c>
      <c r="J43" s="44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7">
        <v>43507</v>
      </c>
      <c r="B44" s="109" t="s">
        <v>104</v>
      </c>
      <c r="C44" s="104" t="s">
        <v>80</v>
      </c>
      <c r="D44" s="9"/>
      <c r="E44" s="9">
        <f t="shared" si="12"/>
        <v>0</v>
      </c>
      <c r="F44" s="9"/>
      <c r="G44" s="9">
        <f t="shared" si="11"/>
        <v>0</v>
      </c>
      <c r="H44" s="9">
        <f t="shared" si="10"/>
        <v>0</v>
      </c>
      <c r="I44" s="9"/>
      <c r="J44" s="44"/>
      <c r="K44" s="10"/>
      <c r="L44" s="9">
        <v>14884.73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7">
        <v>43509</v>
      </c>
      <c r="B45" s="43" t="s">
        <v>103</v>
      </c>
      <c r="C45" s="104" t="s">
        <v>81</v>
      </c>
      <c r="D45" s="9"/>
      <c r="E45" s="9">
        <f t="shared" si="12"/>
        <v>0</v>
      </c>
      <c r="F45" s="9">
        <v>2000</v>
      </c>
      <c r="G45" s="9">
        <f t="shared" si="11"/>
        <v>0</v>
      </c>
      <c r="H45" s="9">
        <f t="shared" si="10"/>
        <v>0</v>
      </c>
      <c r="I45" s="9"/>
      <c r="J45" s="44" t="s">
        <v>79</v>
      </c>
      <c r="K45" s="10">
        <v>6849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7">
        <v>43508</v>
      </c>
      <c r="B46" s="8" t="s">
        <v>105</v>
      </c>
      <c r="C46" s="104" t="s">
        <v>81</v>
      </c>
      <c r="E46" s="9">
        <f>+D381</f>
        <v>-80407.48</v>
      </c>
      <c r="F46" s="9">
        <v>95983.83</v>
      </c>
      <c r="G46" s="9">
        <f t="shared" si="11"/>
        <v>0</v>
      </c>
      <c r="H46" s="9">
        <f>+D381</f>
        <v>-80407.48</v>
      </c>
      <c r="I46" s="9"/>
      <c r="J46" s="44" t="s">
        <v>84</v>
      </c>
      <c r="K46" s="10">
        <v>6861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7">
        <v>43518</v>
      </c>
      <c r="B47" s="109" t="s">
        <v>106</v>
      </c>
      <c r="C47" s="104" t="s">
        <v>80</v>
      </c>
      <c r="E47" s="9">
        <f>+D382</f>
        <v>-509870.21</v>
      </c>
      <c r="F47" s="9"/>
      <c r="G47" s="9">
        <f t="shared" si="11"/>
        <v>0</v>
      </c>
      <c r="H47" s="9">
        <f>+D382</f>
        <v>-509870.21</v>
      </c>
      <c r="I47" s="9">
        <v>230.77</v>
      </c>
      <c r="J47" s="44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7">
        <v>43532</v>
      </c>
      <c r="B48" s="8" t="s">
        <v>107</v>
      </c>
      <c r="C48" s="104" t="s">
        <v>80</v>
      </c>
      <c r="D48" s="9"/>
      <c r="E48" s="9">
        <f t="shared" si="12"/>
        <v>0</v>
      </c>
      <c r="F48" s="9"/>
      <c r="G48" s="9">
        <v>157920</v>
      </c>
      <c r="H48" s="9">
        <f t="shared" si="10"/>
        <v>0</v>
      </c>
      <c r="I48" s="9"/>
      <c r="J48" s="44" t="s">
        <v>108</v>
      </c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7">
        <v>43536</v>
      </c>
      <c r="B49" s="109" t="s">
        <v>109</v>
      </c>
      <c r="C49" s="104" t="s">
        <v>80</v>
      </c>
      <c r="D49" s="9"/>
      <c r="E49" s="9">
        <f t="shared" si="12"/>
        <v>0</v>
      </c>
      <c r="F49" s="9"/>
      <c r="G49" s="9">
        <f t="shared" si="11"/>
        <v>0</v>
      </c>
      <c r="H49" s="9">
        <f t="shared" si="10"/>
        <v>0</v>
      </c>
      <c r="I49" s="9"/>
      <c r="J49" s="44"/>
      <c r="K49" s="10"/>
      <c r="L49" s="9">
        <v>11305.83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7">
        <v>43538</v>
      </c>
      <c r="B50" s="8" t="s">
        <v>110</v>
      </c>
      <c r="C50" s="104" t="s">
        <v>81</v>
      </c>
      <c r="D50" s="9"/>
      <c r="E50" s="9">
        <f t="shared" si="12"/>
        <v>0</v>
      </c>
      <c r="F50" s="9">
        <v>1400</v>
      </c>
      <c r="G50" s="9">
        <f t="shared" si="11"/>
        <v>0</v>
      </c>
      <c r="H50" s="9">
        <f t="shared" si="10"/>
        <v>0</v>
      </c>
      <c r="I50" s="9"/>
      <c r="J50" s="44" t="s">
        <v>101</v>
      </c>
      <c r="K50" s="10">
        <v>6849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7">
        <v>43538</v>
      </c>
      <c r="B51" s="8" t="s">
        <v>111</v>
      </c>
      <c r="C51" s="104" t="s">
        <v>81</v>
      </c>
      <c r="D51" s="9"/>
      <c r="E51" s="9">
        <f t="shared" si="12"/>
        <v>0</v>
      </c>
      <c r="F51" s="9">
        <v>363</v>
      </c>
      <c r="G51" s="9">
        <f t="shared" si="11"/>
        <v>0</v>
      </c>
      <c r="H51" s="9">
        <f t="shared" si="10"/>
        <v>0</v>
      </c>
      <c r="I51" s="9"/>
      <c r="J51" s="44" t="s">
        <v>89</v>
      </c>
      <c r="K51" s="10">
        <v>6849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7">
        <v>43542</v>
      </c>
      <c r="B52" s="8" t="s">
        <v>112</v>
      </c>
      <c r="C52" s="104" t="s">
        <v>81</v>
      </c>
      <c r="D52" s="9"/>
      <c r="E52" s="9">
        <f t="shared" si="12"/>
        <v>0</v>
      </c>
      <c r="F52" s="9">
        <v>400</v>
      </c>
      <c r="G52" s="9">
        <f t="shared" ref="G52:G67" si="13">IF(J52&gt;0,0,F52)</f>
        <v>400</v>
      </c>
      <c r="H52" s="9">
        <f t="shared" ref="H52:H67" si="14">+D52</f>
        <v>0</v>
      </c>
      <c r="I52" s="9"/>
      <c r="J52" s="44"/>
      <c r="K52" s="10">
        <v>6873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7">
        <v>43542</v>
      </c>
      <c r="B53" s="8" t="s">
        <v>113</v>
      </c>
      <c r="C53" s="104" t="s">
        <v>81</v>
      </c>
      <c r="D53" s="9"/>
      <c r="E53" s="9">
        <f t="shared" si="12"/>
        <v>0</v>
      </c>
      <c r="F53" s="9">
        <v>287315.83</v>
      </c>
      <c r="G53" s="9">
        <f t="shared" si="13"/>
        <v>0</v>
      </c>
      <c r="H53" s="9">
        <f t="shared" si="14"/>
        <v>0</v>
      </c>
      <c r="I53" s="9"/>
      <c r="J53" s="44" t="s">
        <v>84</v>
      </c>
      <c r="K53" s="10">
        <v>6861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7">
        <v>43538</v>
      </c>
      <c r="B54" s="8" t="s">
        <v>130</v>
      </c>
      <c r="C54" s="104" t="s">
        <v>119</v>
      </c>
      <c r="D54" s="9"/>
      <c r="E54" s="9">
        <f t="shared" si="12"/>
        <v>0</v>
      </c>
      <c r="F54" s="9"/>
      <c r="G54" s="9">
        <v>2272785</v>
      </c>
      <c r="H54" s="9">
        <f t="shared" si="14"/>
        <v>0</v>
      </c>
      <c r="I54" s="9"/>
      <c r="J54" s="44" t="s">
        <v>70</v>
      </c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7">
        <v>43546</v>
      </c>
      <c r="B55" s="8" t="s">
        <v>114</v>
      </c>
      <c r="C55" s="104" t="s">
        <v>81</v>
      </c>
      <c r="D55" s="9"/>
      <c r="E55" s="9">
        <f t="shared" si="12"/>
        <v>0</v>
      </c>
      <c r="F55" s="9">
        <v>453.75</v>
      </c>
      <c r="G55" s="9">
        <f t="shared" si="13"/>
        <v>0</v>
      </c>
      <c r="H55" s="9">
        <f t="shared" si="14"/>
        <v>0</v>
      </c>
      <c r="I55" s="9"/>
      <c r="J55" s="44" t="s">
        <v>108</v>
      </c>
      <c r="K55" s="10">
        <v>6873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7">
        <v>43543</v>
      </c>
      <c r="B56" s="8" t="s">
        <v>115</v>
      </c>
      <c r="C56" s="104" t="s">
        <v>81</v>
      </c>
      <c r="D56" s="9"/>
      <c r="E56" s="9">
        <f t="shared" ref="E56:E71" si="15">+D56</f>
        <v>0</v>
      </c>
      <c r="F56" s="9">
        <v>110</v>
      </c>
      <c r="G56" s="9">
        <f t="shared" si="13"/>
        <v>110</v>
      </c>
      <c r="H56" s="9">
        <f t="shared" si="14"/>
        <v>0</v>
      </c>
      <c r="I56" s="9"/>
      <c r="J56" s="44"/>
      <c r="K56" s="10">
        <v>6861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7">
        <v>43546</v>
      </c>
      <c r="B57" s="8" t="s">
        <v>116</v>
      </c>
      <c r="C57" s="104" t="s">
        <v>80</v>
      </c>
      <c r="D57" s="9"/>
      <c r="E57" s="9">
        <f t="shared" si="15"/>
        <v>0</v>
      </c>
      <c r="F57" s="9"/>
      <c r="G57" s="9">
        <v>77200</v>
      </c>
      <c r="H57" s="9">
        <f t="shared" si="14"/>
        <v>0</v>
      </c>
      <c r="I57" s="9"/>
      <c r="J57" s="44" t="s">
        <v>117</v>
      </c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7">
        <v>43549</v>
      </c>
      <c r="B58" s="109" t="s">
        <v>118</v>
      </c>
      <c r="C58" s="104" t="s">
        <v>80</v>
      </c>
      <c r="D58" s="9"/>
      <c r="E58" s="9">
        <f t="shared" si="15"/>
        <v>0</v>
      </c>
      <c r="F58" s="9"/>
      <c r="G58" s="9">
        <f t="shared" si="13"/>
        <v>0</v>
      </c>
      <c r="H58" s="9">
        <f t="shared" si="14"/>
        <v>0</v>
      </c>
      <c r="I58" s="9">
        <v>14884.73</v>
      </c>
      <c r="J58" s="44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7">
        <v>43565</v>
      </c>
      <c r="B59" s="109" t="s">
        <v>120</v>
      </c>
      <c r="C59" s="104" t="s">
        <v>80</v>
      </c>
      <c r="D59" s="9"/>
      <c r="E59" s="9">
        <f t="shared" si="15"/>
        <v>0</v>
      </c>
      <c r="F59" s="9"/>
      <c r="G59" s="9">
        <f t="shared" si="13"/>
        <v>0</v>
      </c>
      <c r="H59" s="9">
        <f t="shared" si="14"/>
        <v>0</v>
      </c>
      <c r="I59" s="9"/>
      <c r="J59" s="44"/>
      <c r="K59" s="10"/>
      <c r="L59" s="9">
        <v>33466.449999999997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7">
        <v>43566</v>
      </c>
      <c r="B60" s="8" t="s">
        <v>121</v>
      </c>
      <c r="C60" s="104" t="s">
        <v>81</v>
      </c>
      <c r="D60" s="9"/>
      <c r="E60" s="9">
        <f t="shared" si="15"/>
        <v>0</v>
      </c>
      <c r="F60" s="9">
        <v>4716</v>
      </c>
      <c r="G60" s="9">
        <f t="shared" si="13"/>
        <v>0</v>
      </c>
      <c r="H60" s="9">
        <f t="shared" si="14"/>
        <v>0</v>
      </c>
      <c r="I60" s="9"/>
      <c r="J60" s="44" t="s">
        <v>89</v>
      </c>
      <c r="K60" s="10">
        <v>6849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7">
        <v>43570</v>
      </c>
      <c r="B61" s="8" t="s">
        <v>122</v>
      </c>
      <c r="C61" s="104" t="s">
        <v>81</v>
      </c>
      <c r="D61" s="9"/>
      <c r="E61" s="9">
        <f t="shared" si="15"/>
        <v>0</v>
      </c>
      <c r="F61" s="9">
        <v>293498.67</v>
      </c>
      <c r="G61" s="9">
        <f t="shared" si="13"/>
        <v>0</v>
      </c>
      <c r="H61" s="9">
        <f t="shared" si="14"/>
        <v>0</v>
      </c>
      <c r="I61" s="9"/>
      <c r="J61" s="44" t="s">
        <v>84</v>
      </c>
      <c r="K61" s="10">
        <v>6861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7">
        <v>43574</v>
      </c>
      <c r="B62" s="8" t="s">
        <v>123</v>
      </c>
      <c r="C62" s="104" t="s">
        <v>81</v>
      </c>
      <c r="D62" s="9"/>
      <c r="E62" s="9">
        <f t="shared" si="15"/>
        <v>0</v>
      </c>
      <c r="F62" s="9">
        <v>1143</v>
      </c>
      <c r="G62" s="9">
        <f t="shared" si="13"/>
        <v>0</v>
      </c>
      <c r="H62" s="9">
        <f t="shared" si="14"/>
        <v>0</v>
      </c>
      <c r="I62" s="9"/>
      <c r="J62" s="44" t="s">
        <v>108</v>
      </c>
      <c r="K62" s="10">
        <v>6873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7">
        <v>43588</v>
      </c>
      <c r="B63" s="8" t="s">
        <v>124</v>
      </c>
      <c r="C63" s="104" t="s">
        <v>81</v>
      </c>
      <c r="D63" s="9"/>
      <c r="E63" s="9">
        <f t="shared" si="15"/>
        <v>0</v>
      </c>
      <c r="F63" s="9">
        <v>16350.26</v>
      </c>
      <c r="G63" s="9">
        <f t="shared" si="13"/>
        <v>0</v>
      </c>
      <c r="H63" s="9">
        <f t="shared" si="14"/>
        <v>0</v>
      </c>
      <c r="I63" s="9"/>
      <c r="J63" s="44" t="s">
        <v>70</v>
      </c>
      <c r="K63" s="10">
        <v>6812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7">
        <v>43588</v>
      </c>
      <c r="B64" s="8" t="s">
        <v>125</v>
      </c>
      <c r="C64" s="104" t="s">
        <v>81</v>
      </c>
      <c r="D64" s="9"/>
      <c r="E64" s="9">
        <f t="shared" si="15"/>
        <v>0</v>
      </c>
      <c r="F64" s="9">
        <v>310654.87</v>
      </c>
      <c r="G64" s="9">
        <f t="shared" si="13"/>
        <v>0</v>
      </c>
      <c r="H64" s="9">
        <f t="shared" si="14"/>
        <v>0</v>
      </c>
      <c r="I64" s="9"/>
      <c r="J64" s="44" t="s">
        <v>70</v>
      </c>
      <c r="K64" s="10">
        <v>6812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7">
        <v>43588</v>
      </c>
      <c r="B65" s="8" t="s">
        <v>126</v>
      </c>
      <c r="C65" s="104" t="s">
        <v>81</v>
      </c>
      <c r="D65" s="9"/>
      <c r="E65" s="9">
        <f t="shared" si="15"/>
        <v>0</v>
      </c>
      <c r="F65" s="9">
        <v>10063.700000000001</v>
      </c>
      <c r="G65" s="9">
        <f t="shared" si="13"/>
        <v>0</v>
      </c>
      <c r="H65" s="9">
        <f t="shared" si="14"/>
        <v>0</v>
      </c>
      <c r="I65" s="9"/>
      <c r="J65" s="44" t="s">
        <v>70</v>
      </c>
      <c r="K65" s="10">
        <v>6812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7">
        <v>43588</v>
      </c>
      <c r="B66" s="8" t="s">
        <v>127</v>
      </c>
      <c r="C66" s="104" t="s">
        <v>81</v>
      </c>
      <c r="D66" s="9"/>
      <c r="E66" s="9">
        <f t="shared" si="15"/>
        <v>0</v>
      </c>
      <c r="F66" s="9">
        <v>191210.2</v>
      </c>
      <c r="G66" s="9">
        <f t="shared" si="13"/>
        <v>0</v>
      </c>
      <c r="H66" s="9">
        <f t="shared" si="14"/>
        <v>0</v>
      </c>
      <c r="I66" s="9"/>
      <c r="J66" s="44" t="s">
        <v>70</v>
      </c>
      <c r="K66" s="10">
        <v>6812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7">
        <v>43594</v>
      </c>
      <c r="B67" s="109" t="s">
        <v>129</v>
      </c>
      <c r="C67" s="104" t="s">
        <v>80</v>
      </c>
      <c r="D67" s="9"/>
      <c r="E67" s="9">
        <f t="shared" si="15"/>
        <v>0</v>
      </c>
      <c r="F67" s="9"/>
      <c r="G67" s="9">
        <f t="shared" si="13"/>
        <v>0</v>
      </c>
      <c r="H67" s="9">
        <f t="shared" si="14"/>
        <v>0</v>
      </c>
      <c r="I67" s="9"/>
      <c r="J67" s="44"/>
      <c r="K67" s="10"/>
      <c r="L67" s="9">
        <v>95496.54</v>
      </c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7">
        <v>43594</v>
      </c>
      <c r="B68" s="8" t="s">
        <v>128</v>
      </c>
      <c r="C68" s="104" t="s">
        <v>81</v>
      </c>
      <c r="D68" s="9"/>
      <c r="E68" s="9">
        <f t="shared" si="15"/>
        <v>0</v>
      </c>
      <c r="F68" s="9">
        <v>1341.72</v>
      </c>
      <c r="G68" s="9">
        <f t="shared" ref="G68:G83" si="16">IF(J68&gt;0,0,F68)</f>
        <v>0</v>
      </c>
      <c r="H68" s="9">
        <f t="shared" ref="H68:H83" si="17">+D68</f>
        <v>0</v>
      </c>
      <c r="I68" s="9"/>
      <c r="J68" s="44" t="s">
        <v>86</v>
      </c>
      <c r="K68" s="10">
        <v>6812</v>
      </c>
      <c r="L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7">
        <f>+A68</f>
        <v>43594</v>
      </c>
      <c r="B69" s="8" t="s">
        <v>135</v>
      </c>
      <c r="C69" s="104" t="s">
        <v>59</v>
      </c>
      <c r="D69" s="9">
        <v>6832.77</v>
      </c>
      <c r="E69" s="9">
        <f t="shared" si="15"/>
        <v>6832.77</v>
      </c>
      <c r="F69" s="9"/>
      <c r="G69" s="9">
        <f t="shared" si="16"/>
        <v>0</v>
      </c>
      <c r="H69" s="9">
        <f t="shared" si="17"/>
        <v>6832.77</v>
      </c>
      <c r="I69" s="9"/>
      <c r="J69" s="44"/>
      <c r="K69" s="10">
        <v>4664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7">
        <v>43600</v>
      </c>
      <c r="B70" s="8" t="s">
        <v>137</v>
      </c>
      <c r="C70" s="104" t="s">
        <v>81</v>
      </c>
      <c r="D70" s="9"/>
      <c r="E70" s="9">
        <f t="shared" si="15"/>
        <v>0</v>
      </c>
      <c r="F70" s="9">
        <v>3190</v>
      </c>
      <c r="G70" s="9">
        <f t="shared" si="16"/>
        <v>3190</v>
      </c>
      <c r="H70" s="9">
        <f t="shared" si="17"/>
        <v>0</v>
      </c>
      <c r="I70" s="9"/>
      <c r="J70" s="44"/>
      <c r="K70" s="10">
        <v>6819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7">
        <v>43600</v>
      </c>
      <c r="B71" s="8" t="s">
        <v>138</v>
      </c>
      <c r="C71" s="104" t="s">
        <v>80</v>
      </c>
      <c r="D71" s="9"/>
      <c r="E71" s="9">
        <f t="shared" si="15"/>
        <v>0</v>
      </c>
      <c r="F71" s="9"/>
      <c r="G71" s="9">
        <v>243764</v>
      </c>
      <c r="H71" s="9">
        <f t="shared" si="17"/>
        <v>0</v>
      </c>
      <c r="I71" s="9"/>
      <c r="J71" s="44" t="s">
        <v>139</v>
      </c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7">
        <v>43606</v>
      </c>
      <c r="B72" s="8" t="s">
        <v>140</v>
      </c>
      <c r="C72" s="104" t="s">
        <v>119</v>
      </c>
      <c r="D72" s="9"/>
      <c r="E72" s="9">
        <f t="shared" ref="E72:E87" si="18">+D72</f>
        <v>0</v>
      </c>
      <c r="F72" s="9"/>
      <c r="G72" s="9">
        <v>5480129</v>
      </c>
      <c r="H72" s="9">
        <f t="shared" si="17"/>
        <v>0</v>
      </c>
      <c r="I72" s="9"/>
      <c r="J72" s="44" t="s">
        <v>70</v>
      </c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7">
        <v>43606</v>
      </c>
      <c r="B73" s="8" t="s">
        <v>148</v>
      </c>
      <c r="C73" s="104" t="s">
        <v>119</v>
      </c>
      <c r="D73" s="9"/>
      <c r="E73" s="9">
        <f t="shared" si="18"/>
        <v>0</v>
      </c>
      <c r="F73" s="9"/>
      <c r="G73" s="9">
        <v>70000</v>
      </c>
      <c r="H73" s="9">
        <f t="shared" si="17"/>
        <v>0</v>
      </c>
      <c r="I73" s="9"/>
      <c r="J73" s="44" t="s">
        <v>86</v>
      </c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7">
        <v>43605</v>
      </c>
      <c r="B74" s="8" t="s">
        <v>141</v>
      </c>
      <c r="C74" s="104" t="s">
        <v>81</v>
      </c>
      <c r="D74" s="9"/>
      <c r="E74" s="9">
        <f t="shared" si="18"/>
        <v>0</v>
      </c>
      <c r="F74" s="9">
        <v>517227.52000000002</v>
      </c>
      <c r="G74" s="9">
        <v>0</v>
      </c>
      <c r="H74" s="9">
        <f t="shared" si="17"/>
        <v>0</v>
      </c>
      <c r="I74" s="9"/>
      <c r="J74" s="44" t="s">
        <v>84</v>
      </c>
      <c r="K74" s="10">
        <v>6861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7">
        <v>43614</v>
      </c>
      <c r="B75" s="8" t="s">
        <v>142</v>
      </c>
      <c r="C75" s="104" t="s">
        <v>81</v>
      </c>
      <c r="D75" s="9"/>
      <c r="E75" s="9">
        <f t="shared" si="18"/>
        <v>0</v>
      </c>
      <c r="F75" s="9">
        <v>2996.23</v>
      </c>
      <c r="G75" s="9">
        <f t="shared" si="16"/>
        <v>0</v>
      </c>
      <c r="H75" s="9">
        <f t="shared" si="17"/>
        <v>0</v>
      </c>
      <c r="I75" s="9"/>
      <c r="J75" s="44" t="s">
        <v>108</v>
      </c>
      <c r="K75" s="10">
        <v>6873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7">
        <v>43614</v>
      </c>
      <c r="B76" s="8" t="s">
        <v>143</v>
      </c>
      <c r="C76" s="104" t="s">
        <v>81</v>
      </c>
      <c r="D76" s="9"/>
      <c r="E76" s="9">
        <f t="shared" si="18"/>
        <v>0</v>
      </c>
      <c r="F76" s="9">
        <v>11115.9</v>
      </c>
      <c r="G76" s="9">
        <f t="shared" si="16"/>
        <v>0</v>
      </c>
      <c r="H76" s="9">
        <f t="shared" si="17"/>
        <v>0</v>
      </c>
      <c r="I76" s="9"/>
      <c r="J76" s="44" t="s">
        <v>117</v>
      </c>
      <c r="K76" s="10">
        <v>6819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7">
        <v>43614</v>
      </c>
      <c r="B77" s="8" t="s">
        <v>144</v>
      </c>
      <c r="C77" s="104" t="s">
        <v>81</v>
      </c>
      <c r="D77" s="9"/>
      <c r="E77" s="9">
        <f t="shared" si="18"/>
        <v>0</v>
      </c>
      <c r="F77" s="9">
        <v>15508.75</v>
      </c>
      <c r="G77" s="9">
        <f t="shared" si="16"/>
        <v>0</v>
      </c>
      <c r="H77" s="9">
        <f t="shared" si="17"/>
        <v>0</v>
      </c>
      <c r="I77" s="9"/>
      <c r="J77" s="44" t="s">
        <v>117</v>
      </c>
      <c r="K77" s="10">
        <v>6819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7">
        <v>43608</v>
      </c>
      <c r="B78" s="109" t="s">
        <v>145</v>
      </c>
      <c r="C78" s="104" t="s">
        <v>80</v>
      </c>
      <c r="D78" s="9"/>
      <c r="E78" s="9">
        <f t="shared" si="18"/>
        <v>0</v>
      </c>
      <c r="F78" s="9"/>
      <c r="G78" s="9">
        <f t="shared" si="16"/>
        <v>0</v>
      </c>
      <c r="H78" s="9">
        <f t="shared" si="17"/>
        <v>0</v>
      </c>
      <c r="I78" s="9">
        <v>33466.449999999997</v>
      </c>
      <c r="J78" s="44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7">
        <v>43619</v>
      </c>
      <c r="B79" s="109" t="s">
        <v>146</v>
      </c>
      <c r="C79" s="104" t="s">
        <v>80</v>
      </c>
      <c r="D79" s="9"/>
      <c r="E79" s="9">
        <f t="shared" si="18"/>
        <v>0</v>
      </c>
      <c r="F79" s="9"/>
      <c r="G79" s="9">
        <f t="shared" si="16"/>
        <v>0</v>
      </c>
      <c r="H79" s="9">
        <f t="shared" si="17"/>
        <v>0</v>
      </c>
      <c r="I79" s="9">
        <v>11305.83</v>
      </c>
      <c r="J79" s="44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7">
        <v>43620</v>
      </c>
      <c r="B80" s="8" t="s">
        <v>147</v>
      </c>
      <c r="C80" s="104" t="s">
        <v>59</v>
      </c>
      <c r="D80" s="9"/>
      <c r="E80" s="9">
        <f t="shared" si="18"/>
        <v>0</v>
      </c>
      <c r="F80" s="9">
        <v>1320</v>
      </c>
      <c r="G80" s="9">
        <f t="shared" si="16"/>
        <v>1320</v>
      </c>
      <c r="H80" s="9">
        <f t="shared" si="17"/>
        <v>0</v>
      </c>
      <c r="I80" s="9"/>
      <c r="J80" s="44"/>
      <c r="K80" s="10">
        <v>6861</v>
      </c>
      <c r="L80" s="9"/>
      <c r="M80" s="123" t="s">
        <v>131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7">
        <v>43623</v>
      </c>
      <c r="B81" s="8" t="s">
        <v>149</v>
      </c>
      <c r="C81" s="104" t="s">
        <v>59</v>
      </c>
      <c r="D81" s="9"/>
      <c r="E81" s="9">
        <f t="shared" si="18"/>
        <v>0</v>
      </c>
      <c r="F81" s="9">
        <v>3000</v>
      </c>
      <c r="G81" s="9">
        <f t="shared" si="16"/>
        <v>0</v>
      </c>
      <c r="H81" s="9">
        <f t="shared" si="17"/>
        <v>0</v>
      </c>
      <c r="I81" s="9"/>
      <c r="J81" s="44" t="s">
        <v>79</v>
      </c>
      <c r="K81" s="10">
        <v>6849</v>
      </c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7">
        <v>43623</v>
      </c>
      <c r="B82" s="8" t="s">
        <v>150</v>
      </c>
      <c r="C82" s="104" t="s">
        <v>59</v>
      </c>
      <c r="D82" s="9"/>
      <c r="E82" s="9">
        <f t="shared" si="18"/>
        <v>0</v>
      </c>
      <c r="F82" s="9">
        <v>2500</v>
      </c>
      <c r="G82" s="9">
        <f t="shared" si="16"/>
        <v>0</v>
      </c>
      <c r="H82" s="9">
        <f t="shared" si="17"/>
        <v>0</v>
      </c>
      <c r="I82" s="9"/>
      <c r="J82" s="44" t="s">
        <v>101</v>
      </c>
      <c r="K82" s="10">
        <v>6849</v>
      </c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7">
        <v>43628</v>
      </c>
      <c r="B83" s="109" t="s">
        <v>151</v>
      </c>
      <c r="C83" s="104" t="s">
        <v>80</v>
      </c>
      <c r="D83" s="9"/>
      <c r="E83" s="9">
        <f t="shared" si="18"/>
        <v>0</v>
      </c>
      <c r="F83" s="9"/>
      <c r="G83" s="9">
        <f t="shared" si="16"/>
        <v>0</v>
      </c>
      <c r="H83" s="9">
        <f t="shared" si="17"/>
        <v>0</v>
      </c>
      <c r="I83" s="9"/>
      <c r="J83" s="44"/>
      <c r="K83" s="10"/>
      <c r="L83" s="9">
        <v>64407.71</v>
      </c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7">
        <v>43642</v>
      </c>
      <c r="B84" s="8" t="s">
        <v>152</v>
      </c>
      <c r="C84" s="104" t="s">
        <v>59</v>
      </c>
      <c r="D84" s="9"/>
      <c r="E84" s="9">
        <f t="shared" si="18"/>
        <v>0</v>
      </c>
      <c r="F84" s="9">
        <v>45905.85</v>
      </c>
      <c r="G84" s="9">
        <f t="shared" ref="G84:G99" si="19">IF(J84&gt;0,0,F84)</f>
        <v>0</v>
      </c>
      <c r="H84" s="9">
        <f t="shared" ref="H84:H99" si="20">+D84</f>
        <v>0</v>
      </c>
      <c r="I84" s="9"/>
      <c r="J84" s="44" t="s">
        <v>84</v>
      </c>
      <c r="K84" s="10">
        <v>6861</v>
      </c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7">
        <v>43642</v>
      </c>
      <c r="B85" s="8" t="s">
        <v>153</v>
      </c>
      <c r="C85" s="104" t="s">
        <v>59</v>
      </c>
      <c r="D85" s="9"/>
      <c r="E85" s="9">
        <f t="shared" si="18"/>
        <v>0</v>
      </c>
      <c r="F85" s="9">
        <v>2586.35</v>
      </c>
      <c r="G85" s="9">
        <f t="shared" si="19"/>
        <v>0</v>
      </c>
      <c r="H85" s="9">
        <f t="shared" si="20"/>
        <v>0</v>
      </c>
      <c r="I85" s="9"/>
      <c r="J85" s="44" t="s">
        <v>108</v>
      </c>
      <c r="K85" s="10">
        <v>6873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7">
        <v>43642</v>
      </c>
      <c r="B86" s="8" t="s">
        <v>154</v>
      </c>
      <c r="C86" s="104" t="s">
        <v>59</v>
      </c>
      <c r="D86" s="9"/>
      <c r="E86" s="9">
        <f t="shared" si="18"/>
        <v>0</v>
      </c>
      <c r="F86" s="9">
        <v>7505.5</v>
      </c>
      <c r="G86" s="9">
        <f t="shared" si="19"/>
        <v>0</v>
      </c>
      <c r="H86" s="9">
        <f t="shared" si="20"/>
        <v>0</v>
      </c>
      <c r="I86" s="9"/>
      <c r="J86" s="44" t="s">
        <v>86</v>
      </c>
      <c r="K86" s="10">
        <v>6812</v>
      </c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7">
        <v>43643</v>
      </c>
      <c r="B87" s="8" t="s">
        <v>155</v>
      </c>
      <c r="C87" s="104" t="s">
        <v>59</v>
      </c>
      <c r="D87" s="9"/>
      <c r="E87" s="9">
        <f t="shared" si="18"/>
        <v>0</v>
      </c>
      <c r="F87" s="9">
        <v>31107.4</v>
      </c>
      <c r="G87" s="9">
        <f t="shared" si="19"/>
        <v>0</v>
      </c>
      <c r="H87" s="9">
        <f t="shared" si="20"/>
        <v>0</v>
      </c>
      <c r="I87" s="9"/>
      <c r="J87" s="44" t="s">
        <v>84</v>
      </c>
      <c r="K87" s="10">
        <v>6861</v>
      </c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7">
        <v>43644</v>
      </c>
      <c r="B88" s="109" t="s">
        <v>156</v>
      </c>
      <c r="C88" s="104" t="s">
        <v>59</v>
      </c>
      <c r="D88" s="9"/>
      <c r="E88" s="9">
        <f t="shared" ref="E88:E103" si="21">+D88</f>
        <v>0</v>
      </c>
      <c r="F88" s="9">
        <v>129.19</v>
      </c>
      <c r="G88" s="9">
        <f t="shared" si="19"/>
        <v>129.19</v>
      </c>
      <c r="H88" s="9">
        <f t="shared" si="20"/>
        <v>0</v>
      </c>
      <c r="I88" s="9"/>
      <c r="J88" s="44"/>
      <c r="K88" s="10">
        <v>6872</v>
      </c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7">
        <v>43646</v>
      </c>
      <c r="B89" s="109" t="s">
        <v>177</v>
      </c>
      <c r="C89" s="104" t="s">
        <v>80</v>
      </c>
      <c r="D89" s="9"/>
      <c r="E89" s="9">
        <f t="shared" si="21"/>
        <v>0</v>
      </c>
      <c r="F89" s="9"/>
      <c r="G89" s="9">
        <f t="shared" si="19"/>
        <v>0</v>
      </c>
      <c r="H89" s="9">
        <f t="shared" si="20"/>
        <v>0</v>
      </c>
      <c r="I89" s="9"/>
      <c r="J89" s="44"/>
      <c r="K89" s="10"/>
      <c r="L89" s="9">
        <v>10065.49</v>
      </c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7">
        <v>43634</v>
      </c>
      <c r="B90" s="8" t="s">
        <v>157</v>
      </c>
      <c r="C90" s="104" t="s">
        <v>59</v>
      </c>
      <c r="D90" s="9"/>
      <c r="E90" s="9">
        <f t="shared" si="21"/>
        <v>0</v>
      </c>
      <c r="F90" s="9">
        <v>440</v>
      </c>
      <c r="G90" s="9">
        <f t="shared" si="19"/>
        <v>440</v>
      </c>
      <c r="H90" s="9">
        <f t="shared" si="20"/>
        <v>0</v>
      </c>
      <c r="I90" s="9"/>
      <c r="J90" s="44"/>
      <c r="K90" s="10">
        <v>6861</v>
      </c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35" customFormat="1" ht="14.1" customHeight="1" x14ac:dyDescent="0.2">
      <c r="A91" s="129" t="s">
        <v>158</v>
      </c>
      <c r="B91" s="130" t="s">
        <v>159</v>
      </c>
      <c r="C91" s="131" t="s">
        <v>59</v>
      </c>
      <c r="D91" s="132"/>
      <c r="E91" s="132">
        <f t="shared" si="21"/>
        <v>0</v>
      </c>
      <c r="F91" s="132">
        <v>6500</v>
      </c>
      <c r="G91" s="132">
        <f t="shared" si="19"/>
        <v>0</v>
      </c>
      <c r="H91" s="132">
        <f t="shared" si="20"/>
        <v>0</v>
      </c>
      <c r="I91" s="132"/>
      <c r="J91" s="133" t="s">
        <v>101</v>
      </c>
      <c r="K91" s="134">
        <v>6849</v>
      </c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2"/>
      <c r="BR91" s="132"/>
      <c r="BS91" s="132"/>
      <c r="BT91" s="132"/>
      <c r="BU91" s="132"/>
      <c r="BV91" s="132"/>
      <c r="BW91" s="132"/>
      <c r="BX91" s="132"/>
      <c r="BY91" s="132"/>
      <c r="BZ91" s="132"/>
      <c r="CA91" s="132"/>
      <c r="CB91" s="132"/>
      <c r="CC91" s="132"/>
      <c r="CD91" s="132"/>
      <c r="CE91" s="132"/>
      <c r="CF91" s="132"/>
      <c r="CG91" s="132"/>
      <c r="CH91" s="132"/>
      <c r="CI91" s="132"/>
      <c r="CJ91" s="132"/>
      <c r="CK91" s="132"/>
      <c r="CL91" s="132"/>
      <c r="CM91" s="132"/>
      <c r="CN91" s="132"/>
      <c r="CO91" s="132"/>
      <c r="CP91" s="132"/>
      <c r="CQ91" s="132"/>
      <c r="CR91" s="132"/>
      <c r="CS91" s="132"/>
      <c r="CT91" s="132"/>
      <c r="CU91" s="132"/>
      <c r="CV91" s="132"/>
      <c r="CW91" s="132"/>
      <c r="CX91" s="132"/>
      <c r="CY91" s="132"/>
      <c r="CZ91" s="132"/>
      <c r="DA91" s="132"/>
      <c r="DB91" s="132"/>
      <c r="DC91" s="132"/>
      <c r="DD91" s="132"/>
      <c r="DE91" s="132"/>
      <c r="DF91" s="132"/>
      <c r="DG91" s="132"/>
      <c r="DH91" s="132"/>
      <c r="DI91" s="132"/>
      <c r="DJ91" s="132"/>
      <c r="DK91" s="132"/>
      <c r="DL91" s="132"/>
      <c r="DM91" s="132"/>
      <c r="DN91" s="132"/>
      <c r="DO91" s="132"/>
      <c r="DP91" s="132"/>
      <c r="DQ91" s="132"/>
      <c r="DR91" s="132"/>
      <c r="DS91" s="132"/>
      <c r="DT91" s="132"/>
      <c r="DU91" s="132"/>
      <c r="DV91" s="132"/>
      <c r="DW91" s="132"/>
      <c r="DX91" s="132"/>
      <c r="DY91" s="132"/>
      <c r="DZ91" s="132"/>
      <c r="EA91" s="132"/>
      <c r="EB91" s="132"/>
      <c r="EC91" s="132"/>
      <c r="ED91" s="132"/>
      <c r="EE91" s="132"/>
      <c r="EF91" s="132"/>
      <c r="EG91" s="132"/>
      <c r="EH91" s="132"/>
      <c r="EI91" s="132"/>
      <c r="EJ91" s="132"/>
      <c r="EK91" s="132"/>
      <c r="EL91" s="132"/>
      <c r="EM91" s="132"/>
      <c r="EN91" s="132"/>
      <c r="EO91" s="132"/>
      <c r="EP91" s="132"/>
      <c r="EQ91" s="132"/>
      <c r="ER91" s="132"/>
      <c r="ES91" s="132"/>
      <c r="ET91" s="132"/>
      <c r="EU91" s="132"/>
      <c r="EV91" s="132"/>
      <c r="EW91" s="132"/>
      <c r="EX91" s="132"/>
      <c r="EY91" s="132"/>
      <c r="EZ91" s="132"/>
      <c r="FA91" s="132"/>
      <c r="FB91" s="132"/>
      <c r="FC91" s="132"/>
      <c r="FD91" s="132"/>
      <c r="FE91" s="132"/>
      <c r="FF91" s="132"/>
      <c r="FG91" s="132"/>
      <c r="FH91" s="132"/>
      <c r="FI91" s="132"/>
      <c r="FJ91" s="132"/>
      <c r="FK91" s="132"/>
      <c r="FL91" s="132"/>
      <c r="FM91" s="132"/>
      <c r="FN91" s="132"/>
      <c r="FO91" s="132"/>
      <c r="FP91" s="132"/>
      <c r="FQ91" s="132"/>
      <c r="FR91" s="132"/>
      <c r="FS91" s="132"/>
      <c r="FT91" s="132"/>
      <c r="FU91" s="132"/>
      <c r="FV91" s="132"/>
      <c r="FW91" s="132"/>
      <c r="FX91" s="132"/>
      <c r="FY91" s="132"/>
      <c r="FZ91" s="132"/>
      <c r="GA91" s="132"/>
      <c r="GB91" s="132"/>
      <c r="GC91" s="132"/>
      <c r="GD91" s="132"/>
      <c r="GE91" s="132"/>
      <c r="GF91" s="132"/>
      <c r="GG91" s="132"/>
      <c r="GH91" s="132"/>
      <c r="GI91" s="132"/>
      <c r="GJ91" s="132"/>
      <c r="GK91" s="132"/>
      <c r="GL91" s="132"/>
      <c r="GM91" s="132"/>
      <c r="GN91" s="132"/>
      <c r="GO91" s="132"/>
      <c r="GP91" s="132"/>
      <c r="GQ91" s="132"/>
      <c r="GR91" s="132"/>
      <c r="GS91" s="132"/>
      <c r="GT91" s="132"/>
      <c r="GU91" s="132"/>
      <c r="GV91" s="132"/>
      <c r="GW91" s="132"/>
      <c r="GX91" s="132"/>
      <c r="GY91" s="132"/>
      <c r="GZ91" s="132"/>
      <c r="HA91" s="132"/>
      <c r="HB91" s="132"/>
      <c r="HC91" s="132"/>
      <c r="HD91" s="132"/>
      <c r="HE91" s="132"/>
      <c r="HF91" s="132"/>
      <c r="HG91" s="132"/>
      <c r="HH91" s="132"/>
      <c r="HI91" s="132"/>
      <c r="HJ91" s="132"/>
      <c r="HK91" s="132"/>
      <c r="HL91" s="132"/>
      <c r="HM91" s="132"/>
      <c r="HN91" s="132"/>
      <c r="HO91" s="132"/>
      <c r="HP91" s="132"/>
      <c r="HQ91" s="132"/>
      <c r="HR91" s="132"/>
      <c r="HS91" s="132"/>
      <c r="HT91" s="132"/>
      <c r="HU91" s="132"/>
      <c r="HV91" s="132"/>
      <c r="HW91" s="132"/>
      <c r="HX91" s="132"/>
      <c r="HY91" s="132"/>
      <c r="HZ91" s="132"/>
      <c r="IA91" s="132"/>
      <c r="IB91" s="132"/>
      <c r="IC91" s="132"/>
      <c r="ID91" s="132"/>
      <c r="IE91" s="132"/>
      <c r="IF91" s="132"/>
      <c r="IG91" s="132"/>
      <c r="IH91" s="132"/>
      <c r="II91" s="132"/>
      <c r="IJ91" s="132"/>
      <c r="IK91" s="132"/>
      <c r="IL91" s="132"/>
      <c r="IM91" s="132"/>
      <c r="IN91" s="132"/>
      <c r="IO91" s="132"/>
      <c r="IP91" s="132"/>
      <c r="IQ91" s="132"/>
      <c r="IR91" s="132"/>
      <c r="IS91" s="132"/>
      <c r="IT91" s="132"/>
    </row>
    <row r="92" spans="1:254" s="11" customFormat="1" ht="14.1" customHeight="1" x14ac:dyDescent="0.2">
      <c r="A92" s="7" t="s">
        <v>158</v>
      </c>
      <c r="B92" s="8" t="s">
        <v>160</v>
      </c>
      <c r="C92" s="104" t="s">
        <v>59</v>
      </c>
      <c r="D92" s="9"/>
      <c r="E92" s="9">
        <f t="shared" si="21"/>
        <v>0</v>
      </c>
      <c r="F92" s="9">
        <v>500</v>
      </c>
      <c r="G92" s="9">
        <f t="shared" si="19"/>
        <v>0</v>
      </c>
      <c r="H92" s="9">
        <f t="shared" si="20"/>
        <v>0</v>
      </c>
      <c r="I92" s="9"/>
      <c r="J92" s="44" t="s">
        <v>79</v>
      </c>
      <c r="K92" s="10">
        <v>6849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7" t="s">
        <v>158</v>
      </c>
      <c r="B93" s="8" t="s">
        <v>161</v>
      </c>
      <c r="C93" s="104" t="s">
        <v>59</v>
      </c>
      <c r="D93" s="9"/>
      <c r="E93" s="9">
        <f t="shared" si="21"/>
        <v>0</v>
      </c>
      <c r="F93" s="9">
        <v>4180</v>
      </c>
      <c r="G93" s="9">
        <f t="shared" si="19"/>
        <v>0</v>
      </c>
      <c r="H93" s="9">
        <f t="shared" si="20"/>
        <v>0</v>
      </c>
      <c r="I93" s="9"/>
      <c r="J93" s="44" t="s">
        <v>86</v>
      </c>
      <c r="K93" s="10">
        <v>6812</v>
      </c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7" t="s">
        <v>158</v>
      </c>
      <c r="B94" s="109" t="s">
        <v>162</v>
      </c>
      <c r="C94" s="104" t="s">
        <v>80</v>
      </c>
      <c r="D94" s="9"/>
      <c r="E94" s="9">
        <f t="shared" si="21"/>
        <v>0</v>
      </c>
      <c r="F94" s="9"/>
      <c r="G94" s="9">
        <f t="shared" si="19"/>
        <v>0</v>
      </c>
      <c r="H94" s="9">
        <f t="shared" si="20"/>
        <v>0</v>
      </c>
      <c r="I94" s="9"/>
      <c r="J94" s="44"/>
      <c r="K94" s="10"/>
      <c r="L94" s="9">
        <v>1340.77</v>
      </c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7" t="s">
        <v>158</v>
      </c>
      <c r="B95" s="8" t="s">
        <v>163</v>
      </c>
      <c r="C95" s="104" t="s">
        <v>59</v>
      </c>
      <c r="D95" s="9"/>
      <c r="E95" s="9">
        <f t="shared" si="21"/>
        <v>0</v>
      </c>
      <c r="F95" s="9">
        <v>13751.84</v>
      </c>
      <c r="G95" s="9">
        <f t="shared" si="19"/>
        <v>0</v>
      </c>
      <c r="H95" s="9">
        <f t="shared" si="20"/>
        <v>0</v>
      </c>
      <c r="I95" s="9"/>
      <c r="J95" s="44" t="s">
        <v>70</v>
      </c>
      <c r="K95" s="10">
        <v>6812</v>
      </c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7" t="s">
        <v>158</v>
      </c>
      <c r="B96" s="8" t="s">
        <v>164</v>
      </c>
      <c r="C96" s="104" t="s">
        <v>59</v>
      </c>
      <c r="D96" s="9"/>
      <c r="E96" s="9">
        <f t="shared" si="21"/>
        <v>0</v>
      </c>
      <c r="F96" s="9">
        <v>261284.95</v>
      </c>
      <c r="G96" s="9">
        <f t="shared" si="19"/>
        <v>0</v>
      </c>
      <c r="H96" s="9">
        <f t="shared" si="20"/>
        <v>0</v>
      </c>
      <c r="I96" s="9"/>
      <c r="J96" s="44" t="s">
        <v>70</v>
      </c>
      <c r="K96" s="10">
        <v>6812</v>
      </c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7" t="s">
        <v>158</v>
      </c>
      <c r="B97" s="8" t="s">
        <v>165</v>
      </c>
      <c r="C97" s="104" t="s">
        <v>59</v>
      </c>
      <c r="D97" s="9"/>
      <c r="E97" s="9">
        <f t="shared" si="21"/>
        <v>0</v>
      </c>
      <c r="F97" s="9">
        <v>36065.67</v>
      </c>
      <c r="G97" s="9">
        <f t="shared" si="19"/>
        <v>0</v>
      </c>
      <c r="H97" s="9">
        <f t="shared" si="20"/>
        <v>0</v>
      </c>
      <c r="I97" s="9"/>
      <c r="J97" s="44" t="s">
        <v>70</v>
      </c>
      <c r="K97" s="10">
        <v>6812</v>
      </c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7" t="s">
        <v>158</v>
      </c>
      <c r="B98" s="8" t="s">
        <v>166</v>
      </c>
      <c r="C98" s="104" t="s">
        <v>59</v>
      </c>
      <c r="D98" s="9"/>
      <c r="E98" s="9">
        <f t="shared" si="21"/>
        <v>0</v>
      </c>
      <c r="F98" s="9">
        <v>685247.83</v>
      </c>
      <c r="G98" s="9">
        <f t="shared" si="19"/>
        <v>0</v>
      </c>
      <c r="H98" s="9">
        <f t="shared" si="20"/>
        <v>0</v>
      </c>
      <c r="I98" s="9"/>
      <c r="J98" s="44" t="s">
        <v>70</v>
      </c>
      <c r="K98" s="10">
        <v>6812</v>
      </c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7" t="s">
        <v>158</v>
      </c>
      <c r="B99" s="8" t="s">
        <v>167</v>
      </c>
      <c r="C99" s="104" t="s">
        <v>59</v>
      </c>
      <c r="D99" s="9"/>
      <c r="E99" s="9">
        <f t="shared" si="21"/>
        <v>0</v>
      </c>
      <c r="F99" s="9">
        <v>24215.68</v>
      </c>
      <c r="G99" s="9">
        <f t="shared" si="19"/>
        <v>0</v>
      </c>
      <c r="H99" s="9">
        <f t="shared" si="20"/>
        <v>0</v>
      </c>
      <c r="I99" s="9"/>
      <c r="J99" s="44" t="s">
        <v>70</v>
      </c>
      <c r="K99" s="10">
        <v>6812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7" t="s">
        <v>158</v>
      </c>
      <c r="B100" s="8" t="s">
        <v>168</v>
      </c>
      <c r="C100" s="104" t="s">
        <v>59</v>
      </c>
      <c r="D100" s="9"/>
      <c r="E100" s="9">
        <f t="shared" si="21"/>
        <v>0</v>
      </c>
      <c r="F100" s="9">
        <v>460097.91</v>
      </c>
      <c r="G100" s="9">
        <f t="shared" ref="G100:G117" si="22">IF(J100&gt;0,0,F100)</f>
        <v>0</v>
      </c>
      <c r="H100" s="9">
        <f t="shared" ref="H100:H116" si="23">+D100</f>
        <v>0</v>
      </c>
      <c r="I100" s="9"/>
      <c r="J100" s="44" t="s">
        <v>70</v>
      </c>
      <c r="K100" s="10">
        <v>6812</v>
      </c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7" t="s">
        <v>158</v>
      </c>
      <c r="B101" s="8" t="s">
        <v>169</v>
      </c>
      <c r="C101" s="104" t="s">
        <v>119</v>
      </c>
      <c r="D101" s="9"/>
      <c r="E101" s="9">
        <f t="shared" si="21"/>
        <v>0</v>
      </c>
      <c r="F101" s="9"/>
      <c r="G101" s="9">
        <v>-470000</v>
      </c>
      <c r="H101" s="9">
        <f t="shared" si="23"/>
        <v>0</v>
      </c>
      <c r="I101" s="9"/>
      <c r="J101" s="44" t="s">
        <v>86</v>
      </c>
      <c r="K101" s="10"/>
      <c r="L101" s="9" t="s">
        <v>174</v>
      </c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7" t="s">
        <v>158</v>
      </c>
      <c r="B102" s="8" t="s">
        <v>170</v>
      </c>
      <c r="C102" s="104" t="s">
        <v>59</v>
      </c>
      <c r="D102" s="9"/>
      <c r="E102" s="9">
        <f t="shared" si="21"/>
        <v>0</v>
      </c>
      <c r="F102" s="9">
        <v>1589.3</v>
      </c>
      <c r="G102" s="9">
        <f t="shared" si="22"/>
        <v>0</v>
      </c>
      <c r="H102" s="9">
        <f t="shared" si="23"/>
        <v>0</v>
      </c>
      <c r="I102" s="9"/>
      <c r="J102" s="44" t="s">
        <v>108</v>
      </c>
      <c r="K102" s="10">
        <v>6873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7" t="s">
        <v>158</v>
      </c>
      <c r="B103" s="8" t="s">
        <v>171</v>
      </c>
      <c r="C103" s="104" t="s">
        <v>59</v>
      </c>
      <c r="D103" s="9"/>
      <c r="E103" s="9">
        <f t="shared" si="21"/>
        <v>0</v>
      </c>
      <c r="F103" s="9">
        <v>42.75</v>
      </c>
      <c r="G103" s="9">
        <f t="shared" si="22"/>
        <v>0</v>
      </c>
      <c r="H103" s="9">
        <f t="shared" si="23"/>
        <v>0</v>
      </c>
      <c r="I103" s="9"/>
      <c r="J103" s="44" t="s">
        <v>86</v>
      </c>
      <c r="K103" s="10">
        <v>6812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7" t="s">
        <v>158</v>
      </c>
      <c r="B104" s="8" t="s">
        <v>172</v>
      </c>
      <c r="C104" s="104" t="s">
        <v>59</v>
      </c>
      <c r="D104" s="9"/>
      <c r="E104" s="9">
        <f t="shared" ref="E104:E120" si="24">+D104</f>
        <v>0</v>
      </c>
      <c r="F104" s="9">
        <f>220+110</f>
        <v>330</v>
      </c>
      <c r="G104" s="9">
        <f t="shared" si="22"/>
        <v>330</v>
      </c>
      <c r="H104" s="9">
        <f t="shared" si="23"/>
        <v>0</v>
      </c>
      <c r="I104" s="9"/>
      <c r="J104" s="44"/>
      <c r="K104" s="10">
        <v>6861</v>
      </c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7" t="s">
        <v>158</v>
      </c>
      <c r="B105" s="109" t="s">
        <v>173</v>
      </c>
      <c r="C105" s="104" t="s">
        <v>80</v>
      </c>
      <c r="D105" s="9"/>
      <c r="E105" s="9">
        <f t="shared" si="24"/>
        <v>0</v>
      </c>
      <c r="F105" s="9"/>
      <c r="G105" s="9">
        <f t="shared" si="22"/>
        <v>0</v>
      </c>
      <c r="H105" s="9">
        <f t="shared" si="23"/>
        <v>0</v>
      </c>
      <c r="I105" s="9"/>
      <c r="J105" s="44"/>
      <c r="K105" s="10"/>
      <c r="L105" s="9">
        <v>171072.23</v>
      </c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7">
        <v>43644</v>
      </c>
      <c r="B106" s="109" t="s">
        <v>175</v>
      </c>
      <c r="C106" s="104" t="s">
        <v>80</v>
      </c>
      <c r="D106" s="9"/>
      <c r="E106" s="9">
        <f t="shared" si="24"/>
        <v>0</v>
      </c>
      <c r="F106" s="9"/>
      <c r="G106" s="9">
        <f t="shared" si="22"/>
        <v>0</v>
      </c>
      <c r="H106" s="9">
        <f t="shared" si="23"/>
        <v>0</v>
      </c>
      <c r="I106" s="9">
        <v>95496.54</v>
      </c>
      <c r="J106" s="44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7">
        <v>43644</v>
      </c>
      <c r="B107" s="109" t="s">
        <v>176</v>
      </c>
      <c r="C107" s="104" t="s">
        <v>80</v>
      </c>
      <c r="D107" s="9"/>
      <c r="E107" s="9">
        <f t="shared" si="24"/>
        <v>0</v>
      </c>
      <c r="F107" s="9"/>
      <c r="G107" s="9">
        <f t="shared" si="22"/>
        <v>0</v>
      </c>
      <c r="H107" s="9">
        <f t="shared" si="23"/>
        <v>0</v>
      </c>
      <c r="I107" s="9">
        <v>64407.71</v>
      </c>
      <c r="J107" s="44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7"/>
      <c r="B108" s="8"/>
      <c r="C108" s="47" t="s">
        <v>49</v>
      </c>
      <c r="D108" s="9"/>
      <c r="E108" s="9">
        <f t="shared" si="24"/>
        <v>0</v>
      </c>
      <c r="F108" s="9"/>
      <c r="G108" s="9">
        <f t="shared" si="22"/>
        <v>0</v>
      </c>
      <c r="H108" s="9">
        <f t="shared" si="23"/>
        <v>0</v>
      </c>
      <c r="I108" s="9"/>
      <c r="J108" s="44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111" t="s">
        <v>178</v>
      </c>
      <c r="B109" s="8"/>
      <c r="C109" s="47" t="s">
        <v>49</v>
      </c>
      <c r="D109" s="9"/>
      <c r="E109" s="9">
        <f t="shared" si="24"/>
        <v>0</v>
      </c>
      <c r="F109" s="9"/>
      <c r="G109" s="9">
        <f t="shared" si="22"/>
        <v>0</v>
      </c>
      <c r="H109" s="9">
        <f t="shared" si="23"/>
        <v>0</v>
      </c>
      <c r="I109" s="9"/>
      <c r="J109" s="44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7">
        <v>43690</v>
      </c>
      <c r="B110" s="8" t="s">
        <v>179</v>
      </c>
      <c r="C110" s="104" t="s">
        <v>200</v>
      </c>
      <c r="D110" s="9"/>
      <c r="E110" s="9">
        <f t="shared" si="24"/>
        <v>0</v>
      </c>
      <c r="F110" s="9">
        <v>44589.89</v>
      </c>
      <c r="G110" s="9">
        <f t="shared" si="22"/>
        <v>0</v>
      </c>
      <c r="H110" s="9">
        <f t="shared" si="23"/>
        <v>0</v>
      </c>
      <c r="I110" s="9"/>
      <c r="J110" s="44" t="s">
        <v>84</v>
      </c>
      <c r="K110" s="10">
        <v>6861</v>
      </c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7">
        <v>43691</v>
      </c>
      <c r="B111" s="8" t="s">
        <v>180</v>
      </c>
      <c r="C111" s="104" t="s">
        <v>200</v>
      </c>
      <c r="D111" s="9"/>
      <c r="E111" s="9">
        <f t="shared" si="24"/>
        <v>0</v>
      </c>
      <c r="F111" s="9">
        <v>2000</v>
      </c>
      <c r="G111" s="9">
        <f t="shared" si="22"/>
        <v>0</v>
      </c>
      <c r="H111" s="9">
        <f t="shared" si="23"/>
        <v>0</v>
      </c>
      <c r="I111" s="9"/>
      <c r="J111" s="44" t="s">
        <v>79</v>
      </c>
      <c r="K111" s="10">
        <v>6849</v>
      </c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175">
        <v>43691</v>
      </c>
      <c r="B112" s="176" t="s">
        <v>181</v>
      </c>
      <c r="C112" s="177" t="s">
        <v>200</v>
      </c>
      <c r="D112" s="178"/>
      <c r="E112" s="178">
        <f t="shared" si="24"/>
        <v>0</v>
      </c>
      <c r="F112" s="178">
        <v>3500</v>
      </c>
      <c r="G112" s="178">
        <f t="shared" si="22"/>
        <v>0</v>
      </c>
      <c r="H112" s="178">
        <f t="shared" si="23"/>
        <v>0</v>
      </c>
      <c r="I112" s="178"/>
      <c r="J112" s="179" t="s">
        <v>182</v>
      </c>
      <c r="K112" s="180">
        <v>6849</v>
      </c>
      <c r="L112" s="178"/>
      <c r="M112" s="178" t="s">
        <v>556</v>
      </c>
      <c r="N112" s="178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35" customFormat="1" ht="14.1" customHeight="1" x14ac:dyDescent="0.2">
      <c r="A113" s="129">
        <v>43691</v>
      </c>
      <c r="B113" s="130" t="s">
        <v>183</v>
      </c>
      <c r="C113" s="131" t="s">
        <v>200</v>
      </c>
      <c r="D113" s="132"/>
      <c r="E113" s="132">
        <f t="shared" si="24"/>
        <v>0</v>
      </c>
      <c r="F113" s="132">
        <v>5000</v>
      </c>
      <c r="G113" s="132">
        <f t="shared" si="22"/>
        <v>0</v>
      </c>
      <c r="H113" s="132">
        <f t="shared" si="23"/>
        <v>0</v>
      </c>
      <c r="I113" s="132"/>
      <c r="J113" s="133" t="s">
        <v>101</v>
      </c>
      <c r="K113" s="134">
        <v>6849</v>
      </c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2"/>
      <c r="AZ113" s="132"/>
      <c r="BA113" s="132"/>
      <c r="BB113" s="132"/>
      <c r="BC113" s="132"/>
      <c r="BD113" s="132"/>
      <c r="BE113" s="132"/>
      <c r="BF113" s="132"/>
      <c r="BG113" s="132"/>
      <c r="BH113" s="132"/>
      <c r="BI113" s="132"/>
      <c r="BJ113" s="132"/>
      <c r="BK113" s="132"/>
      <c r="BL113" s="132"/>
      <c r="BM113" s="132"/>
      <c r="BN113" s="132"/>
      <c r="BO113" s="132"/>
      <c r="BP113" s="132"/>
      <c r="BQ113" s="132"/>
      <c r="BR113" s="132"/>
      <c r="BS113" s="132"/>
      <c r="BT113" s="132"/>
      <c r="BU113" s="132"/>
      <c r="BV113" s="132"/>
      <c r="BW113" s="132"/>
      <c r="BX113" s="132"/>
      <c r="BY113" s="132"/>
      <c r="BZ113" s="132"/>
      <c r="CA113" s="132"/>
      <c r="CB113" s="132"/>
      <c r="CC113" s="132"/>
      <c r="CD113" s="132"/>
      <c r="CE113" s="132"/>
      <c r="CF113" s="132"/>
      <c r="CG113" s="132"/>
      <c r="CH113" s="132"/>
      <c r="CI113" s="132"/>
      <c r="CJ113" s="132"/>
      <c r="CK113" s="132"/>
      <c r="CL113" s="132"/>
      <c r="CM113" s="132"/>
      <c r="CN113" s="132"/>
      <c r="CO113" s="132"/>
      <c r="CP113" s="132"/>
      <c r="CQ113" s="132"/>
      <c r="CR113" s="132"/>
      <c r="CS113" s="132"/>
      <c r="CT113" s="132"/>
      <c r="CU113" s="132"/>
      <c r="CV113" s="132"/>
      <c r="CW113" s="132"/>
      <c r="CX113" s="132"/>
      <c r="CY113" s="132"/>
      <c r="CZ113" s="132"/>
      <c r="DA113" s="132"/>
      <c r="DB113" s="132"/>
      <c r="DC113" s="132"/>
      <c r="DD113" s="132"/>
      <c r="DE113" s="132"/>
      <c r="DF113" s="132"/>
      <c r="DG113" s="132"/>
      <c r="DH113" s="132"/>
      <c r="DI113" s="132"/>
      <c r="DJ113" s="132"/>
      <c r="DK113" s="132"/>
      <c r="DL113" s="132"/>
      <c r="DM113" s="132"/>
      <c r="DN113" s="132"/>
      <c r="DO113" s="132"/>
      <c r="DP113" s="132"/>
      <c r="DQ113" s="132"/>
      <c r="DR113" s="132"/>
      <c r="DS113" s="132"/>
      <c r="DT113" s="132"/>
      <c r="DU113" s="132"/>
      <c r="DV113" s="132"/>
      <c r="DW113" s="132"/>
      <c r="DX113" s="132"/>
      <c r="DY113" s="132"/>
      <c r="DZ113" s="132"/>
      <c r="EA113" s="132"/>
      <c r="EB113" s="132"/>
      <c r="EC113" s="132"/>
      <c r="ED113" s="132"/>
      <c r="EE113" s="132"/>
      <c r="EF113" s="132"/>
      <c r="EG113" s="132"/>
      <c r="EH113" s="132"/>
      <c r="EI113" s="132"/>
      <c r="EJ113" s="132"/>
      <c r="EK113" s="132"/>
      <c r="EL113" s="132"/>
      <c r="EM113" s="132"/>
      <c r="EN113" s="132"/>
      <c r="EO113" s="132"/>
      <c r="EP113" s="132"/>
      <c r="EQ113" s="132"/>
      <c r="ER113" s="132"/>
      <c r="ES113" s="132"/>
      <c r="ET113" s="132"/>
      <c r="EU113" s="132"/>
      <c r="EV113" s="132"/>
      <c r="EW113" s="132"/>
      <c r="EX113" s="132"/>
      <c r="EY113" s="132"/>
      <c r="EZ113" s="132"/>
      <c r="FA113" s="132"/>
      <c r="FB113" s="132"/>
      <c r="FC113" s="132"/>
      <c r="FD113" s="132"/>
      <c r="FE113" s="132"/>
      <c r="FF113" s="132"/>
      <c r="FG113" s="132"/>
      <c r="FH113" s="132"/>
      <c r="FI113" s="132"/>
      <c r="FJ113" s="132"/>
      <c r="FK113" s="132"/>
      <c r="FL113" s="132"/>
      <c r="FM113" s="132"/>
      <c r="FN113" s="132"/>
      <c r="FO113" s="132"/>
      <c r="FP113" s="132"/>
      <c r="FQ113" s="132"/>
      <c r="FR113" s="132"/>
      <c r="FS113" s="132"/>
      <c r="FT113" s="132"/>
      <c r="FU113" s="132"/>
      <c r="FV113" s="132"/>
      <c r="FW113" s="132"/>
      <c r="FX113" s="132"/>
      <c r="FY113" s="132"/>
      <c r="FZ113" s="132"/>
      <c r="GA113" s="132"/>
      <c r="GB113" s="132"/>
      <c r="GC113" s="132"/>
      <c r="GD113" s="132"/>
      <c r="GE113" s="132"/>
      <c r="GF113" s="132"/>
      <c r="GG113" s="132"/>
      <c r="GH113" s="132"/>
      <c r="GI113" s="132"/>
      <c r="GJ113" s="132"/>
      <c r="GK113" s="132"/>
      <c r="GL113" s="132"/>
      <c r="GM113" s="132"/>
      <c r="GN113" s="132"/>
      <c r="GO113" s="132"/>
      <c r="GP113" s="132"/>
      <c r="GQ113" s="132"/>
      <c r="GR113" s="132"/>
      <c r="GS113" s="132"/>
      <c r="GT113" s="132"/>
      <c r="GU113" s="132"/>
      <c r="GV113" s="132"/>
      <c r="GW113" s="132"/>
      <c r="GX113" s="132"/>
      <c r="GY113" s="132"/>
      <c r="GZ113" s="132"/>
      <c r="HA113" s="132"/>
      <c r="HB113" s="132"/>
      <c r="HC113" s="132"/>
      <c r="HD113" s="132"/>
      <c r="HE113" s="132"/>
      <c r="HF113" s="132"/>
      <c r="HG113" s="132"/>
      <c r="HH113" s="132"/>
      <c r="HI113" s="132"/>
      <c r="HJ113" s="132"/>
      <c r="HK113" s="132"/>
      <c r="HL113" s="132"/>
      <c r="HM113" s="132"/>
      <c r="HN113" s="132"/>
      <c r="HO113" s="132"/>
      <c r="HP113" s="132"/>
      <c r="HQ113" s="132"/>
      <c r="HR113" s="132"/>
      <c r="HS113" s="132"/>
      <c r="HT113" s="132"/>
      <c r="HU113" s="132"/>
      <c r="HV113" s="132"/>
      <c r="HW113" s="132"/>
      <c r="HX113" s="132"/>
      <c r="HY113" s="132"/>
      <c r="HZ113" s="132"/>
      <c r="IA113" s="132"/>
      <c r="IB113" s="132"/>
      <c r="IC113" s="132"/>
      <c r="ID113" s="132"/>
      <c r="IE113" s="132"/>
      <c r="IF113" s="132"/>
      <c r="IG113" s="132"/>
      <c r="IH113" s="132"/>
      <c r="II113" s="132"/>
      <c r="IJ113" s="132"/>
      <c r="IK113" s="132"/>
      <c r="IL113" s="132"/>
      <c r="IM113" s="132"/>
      <c r="IN113" s="132"/>
      <c r="IO113" s="132"/>
      <c r="IP113" s="132"/>
      <c r="IQ113" s="132"/>
      <c r="IR113" s="132"/>
      <c r="IS113" s="132"/>
      <c r="IT113" s="132"/>
    </row>
    <row r="114" spans="1:254" s="11" customFormat="1" ht="14.1" customHeight="1" x14ac:dyDescent="0.2">
      <c r="A114" s="7">
        <v>43699</v>
      </c>
      <c r="B114" s="8" t="s">
        <v>201</v>
      </c>
      <c r="C114" s="104" t="s">
        <v>200</v>
      </c>
      <c r="D114" s="9"/>
      <c r="E114" s="9"/>
      <c r="F114" s="9">
        <f>110+110+110-110+110-110</f>
        <v>220</v>
      </c>
      <c r="G114" s="132">
        <f t="shared" si="22"/>
        <v>220</v>
      </c>
      <c r="H114" s="9"/>
      <c r="I114" s="9"/>
      <c r="J114" s="44"/>
      <c r="K114" s="10">
        <v>6861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7">
        <v>43706</v>
      </c>
      <c r="B115" s="8" t="s">
        <v>184</v>
      </c>
      <c r="C115" s="104" t="s">
        <v>200</v>
      </c>
      <c r="D115" s="9"/>
      <c r="E115" s="9">
        <f t="shared" si="24"/>
        <v>0</v>
      </c>
      <c r="F115" s="9">
        <v>272</v>
      </c>
      <c r="G115" s="132">
        <f t="shared" si="22"/>
        <v>0</v>
      </c>
      <c r="H115" s="9">
        <f t="shared" si="23"/>
        <v>0</v>
      </c>
      <c r="I115" s="9"/>
      <c r="J115" s="44" t="s">
        <v>86</v>
      </c>
      <c r="K115" s="10">
        <v>6812</v>
      </c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7">
        <v>43707</v>
      </c>
      <c r="B116" s="8" t="s">
        <v>185</v>
      </c>
      <c r="C116" s="104" t="s">
        <v>200</v>
      </c>
      <c r="D116" s="9"/>
      <c r="E116" s="9">
        <f t="shared" si="24"/>
        <v>0</v>
      </c>
      <c r="F116" s="9">
        <v>275.94</v>
      </c>
      <c r="G116" s="132">
        <f t="shared" si="22"/>
        <v>0</v>
      </c>
      <c r="H116" s="9">
        <f t="shared" si="23"/>
        <v>0</v>
      </c>
      <c r="I116" s="9"/>
      <c r="J116" s="44" t="s">
        <v>108</v>
      </c>
      <c r="K116" s="10">
        <v>6873</v>
      </c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7">
        <v>43671</v>
      </c>
      <c r="B117" s="109" t="s">
        <v>186</v>
      </c>
      <c r="C117" s="104" t="s">
        <v>80</v>
      </c>
      <c r="D117" s="9"/>
      <c r="E117" s="9">
        <f t="shared" si="24"/>
        <v>0</v>
      </c>
      <c r="F117" s="9"/>
      <c r="G117" s="132">
        <f t="shared" si="22"/>
        <v>0</v>
      </c>
      <c r="H117" s="9">
        <f t="shared" ref="H117:H133" si="25">+D117</f>
        <v>0</v>
      </c>
      <c r="I117" s="9">
        <v>1340.77</v>
      </c>
      <c r="J117" s="44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7">
        <v>43679</v>
      </c>
      <c r="B118" s="109" t="s">
        <v>187</v>
      </c>
      <c r="C118" s="104" t="s">
        <v>80</v>
      </c>
      <c r="D118" s="9"/>
      <c r="E118" s="9">
        <f t="shared" si="24"/>
        <v>0</v>
      </c>
      <c r="F118" s="9"/>
      <c r="G118" s="9">
        <f t="shared" ref="G118:G133" si="26">IF(J118&gt;0,0,F118)</f>
        <v>0</v>
      </c>
      <c r="H118" s="9">
        <f t="shared" si="25"/>
        <v>0</v>
      </c>
      <c r="I118" s="9">
        <v>171072.23</v>
      </c>
      <c r="J118" s="44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7">
        <v>43696</v>
      </c>
      <c r="B119" s="109" t="s">
        <v>188</v>
      </c>
      <c r="C119" s="104" t="s">
        <v>80</v>
      </c>
      <c r="D119" s="9"/>
      <c r="E119" s="9">
        <f t="shared" si="24"/>
        <v>0</v>
      </c>
      <c r="F119" s="9"/>
      <c r="G119" s="9">
        <f t="shared" si="26"/>
        <v>0</v>
      </c>
      <c r="H119" s="9">
        <f t="shared" si="25"/>
        <v>0</v>
      </c>
      <c r="I119" s="9">
        <v>10065.49</v>
      </c>
      <c r="J119" s="44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7">
        <v>43720</v>
      </c>
      <c r="B120" s="8" t="s">
        <v>189</v>
      </c>
      <c r="C120" s="104" t="s">
        <v>200</v>
      </c>
      <c r="D120" s="9"/>
      <c r="E120" s="9">
        <f t="shared" si="24"/>
        <v>0</v>
      </c>
      <c r="F120" s="9">
        <v>21241.78</v>
      </c>
      <c r="G120" s="9">
        <f t="shared" si="26"/>
        <v>0</v>
      </c>
      <c r="H120" s="9">
        <f t="shared" si="25"/>
        <v>0</v>
      </c>
      <c r="I120" s="9"/>
      <c r="J120" s="44" t="s">
        <v>84</v>
      </c>
      <c r="K120" s="10">
        <v>6861</v>
      </c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7">
        <v>43725</v>
      </c>
      <c r="B121" s="8" t="s">
        <v>190</v>
      </c>
      <c r="C121" s="104" t="s">
        <v>200</v>
      </c>
      <c r="D121" s="9"/>
      <c r="E121" s="9">
        <f t="shared" ref="E121:E137" si="27">+D121</f>
        <v>0</v>
      </c>
      <c r="F121" s="9">
        <v>3000</v>
      </c>
      <c r="G121" s="9">
        <f t="shared" si="26"/>
        <v>0</v>
      </c>
      <c r="H121" s="9">
        <f t="shared" si="25"/>
        <v>0</v>
      </c>
      <c r="I121" s="9"/>
      <c r="J121" s="44" t="s">
        <v>79</v>
      </c>
      <c r="K121" s="10">
        <v>6849</v>
      </c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7">
        <v>43718</v>
      </c>
      <c r="B122" s="8" t="s">
        <v>191</v>
      </c>
      <c r="C122" s="104" t="s">
        <v>200</v>
      </c>
      <c r="D122" s="9"/>
      <c r="E122" s="9">
        <f t="shared" si="27"/>
        <v>0</v>
      </c>
      <c r="F122" s="9">
        <v>110</v>
      </c>
      <c r="G122" s="9">
        <f t="shared" si="26"/>
        <v>110</v>
      </c>
      <c r="H122" s="9">
        <f t="shared" si="25"/>
        <v>0</v>
      </c>
      <c r="I122" s="9"/>
      <c r="J122" s="44"/>
      <c r="K122" s="10">
        <v>6861</v>
      </c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7">
        <v>43732</v>
      </c>
      <c r="B123" s="109" t="s">
        <v>192</v>
      </c>
      <c r="C123" s="104" t="s">
        <v>80</v>
      </c>
      <c r="D123" s="9"/>
      <c r="E123" s="9">
        <f t="shared" si="27"/>
        <v>0</v>
      </c>
      <c r="F123" s="9"/>
      <c r="G123" s="9">
        <f t="shared" si="26"/>
        <v>0</v>
      </c>
      <c r="H123" s="9">
        <f t="shared" si="25"/>
        <v>0</v>
      </c>
      <c r="I123" s="9"/>
      <c r="J123" s="44"/>
      <c r="K123" s="10"/>
      <c r="L123" s="9">
        <v>9229.57</v>
      </c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7">
        <v>43733</v>
      </c>
      <c r="B124" s="8" t="s">
        <v>193</v>
      </c>
      <c r="C124" s="104" t="s">
        <v>200</v>
      </c>
      <c r="D124" s="9"/>
      <c r="E124" s="9">
        <f t="shared" si="27"/>
        <v>0</v>
      </c>
      <c r="F124" s="9">
        <v>29570.66</v>
      </c>
      <c r="G124" s="9">
        <f t="shared" si="26"/>
        <v>0</v>
      </c>
      <c r="H124" s="9">
        <f t="shared" si="25"/>
        <v>0</v>
      </c>
      <c r="I124" s="9"/>
      <c r="J124" s="44" t="s">
        <v>70</v>
      </c>
      <c r="K124" s="10">
        <v>6812</v>
      </c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7">
        <v>43733</v>
      </c>
      <c r="B125" s="8" t="s">
        <v>194</v>
      </c>
      <c r="C125" s="104" t="s">
        <v>200</v>
      </c>
      <c r="D125" s="9"/>
      <c r="E125" s="9">
        <f t="shared" si="27"/>
        <v>0</v>
      </c>
      <c r="F125" s="9">
        <v>561842.94999999995</v>
      </c>
      <c r="G125" s="9">
        <f t="shared" si="26"/>
        <v>0</v>
      </c>
      <c r="H125" s="9">
        <f t="shared" si="25"/>
        <v>0</v>
      </c>
      <c r="I125" s="9"/>
      <c r="J125" s="44" t="s">
        <v>70</v>
      </c>
      <c r="K125" s="10">
        <v>6812</v>
      </c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7">
        <v>43733</v>
      </c>
      <c r="B126" s="8" t="s">
        <v>195</v>
      </c>
      <c r="C126" s="104" t="s">
        <v>200</v>
      </c>
      <c r="D126" s="9"/>
      <c r="E126" s="9">
        <f t="shared" si="27"/>
        <v>0</v>
      </c>
      <c r="F126" s="9">
        <v>57718.13</v>
      </c>
      <c r="G126" s="9">
        <f t="shared" si="26"/>
        <v>0</v>
      </c>
      <c r="H126" s="9">
        <f t="shared" si="25"/>
        <v>0</v>
      </c>
      <c r="I126" s="9"/>
      <c r="J126" s="44" t="s">
        <v>70</v>
      </c>
      <c r="K126" s="10">
        <v>6812</v>
      </c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7">
        <v>43733</v>
      </c>
      <c r="B127" s="8" t="s">
        <v>202</v>
      </c>
      <c r="C127" s="104" t="s">
        <v>200</v>
      </c>
      <c r="D127" s="9"/>
      <c r="E127" s="9"/>
      <c r="F127" s="9">
        <v>1096643.99</v>
      </c>
      <c r="G127" s="9">
        <f t="shared" si="26"/>
        <v>0</v>
      </c>
      <c r="H127" s="9"/>
      <c r="I127" s="9"/>
      <c r="J127" s="44" t="s">
        <v>70</v>
      </c>
      <c r="K127" s="10">
        <v>6812</v>
      </c>
      <c r="L127" s="123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7">
        <v>43739</v>
      </c>
      <c r="B128" s="8" t="s">
        <v>197</v>
      </c>
      <c r="C128" s="104" t="s">
        <v>119</v>
      </c>
      <c r="D128" s="9"/>
      <c r="E128" s="9">
        <f t="shared" si="27"/>
        <v>0</v>
      </c>
      <c r="F128" s="9"/>
      <c r="G128" s="9">
        <v>11925475</v>
      </c>
      <c r="H128" s="9">
        <f t="shared" si="25"/>
        <v>0</v>
      </c>
      <c r="I128" s="9"/>
      <c r="J128" s="44" t="s">
        <v>70</v>
      </c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7">
        <v>43742</v>
      </c>
      <c r="B129" s="8" t="s">
        <v>198</v>
      </c>
      <c r="C129" s="104" t="s">
        <v>200</v>
      </c>
      <c r="D129" s="9"/>
      <c r="E129" s="9">
        <f t="shared" si="27"/>
        <v>0</v>
      </c>
      <c r="F129" s="9">
        <v>3000</v>
      </c>
      <c r="G129" s="9">
        <f t="shared" si="26"/>
        <v>0</v>
      </c>
      <c r="H129" s="9">
        <f t="shared" si="25"/>
        <v>0</v>
      </c>
      <c r="I129" s="9"/>
      <c r="J129" s="44" t="s">
        <v>79</v>
      </c>
      <c r="K129" s="10">
        <v>6849</v>
      </c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7">
        <v>43745</v>
      </c>
      <c r="B130" s="8" t="s">
        <v>199</v>
      </c>
      <c r="C130" s="104" t="s">
        <v>200</v>
      </c>
      <c r="D130" s="9"/>
      <c r="E130" s="9">
        <f t="shared" si="27"/>
        <v>0</v>
      </c>
      <c r="F130" s="9">
        <v>3806.8</v>
      </c>
      <c r="G130" s="9">
        <f t="shared" si="26"/>
        <v>3806.8</v>
      </c>
      <c r="H130" s="9">
        <f t="shared" si="25"/>
        <v>0</v>
      </c>
      <c r="I130" s="9"/>
      <c r="J130" s="44"/>
      <c r="K130" s="10">
        <v>6819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7">
        <v>43768</v>
      </c>
      <c r="B131" s="109" t="s">
        <v>203</v>
      </c>
      <c r="C131" s="104" t="s">
        <v>80</v>
      </c>
      <c r="D131" s="9"/>
      <c r="E131" s="9">
        <f t="shared" si="27"/>
        <v>0</v>
      </c>
      <c r="F131" s="9"/>
      <c r="G131" s="9">
        <f t="shared" si="26"/>
        <v>0</v>
      </c>
      <c r="H131" s="9">
        <f t="shared" si="25"/>
        <v>0</v>
      </c>
      <c r="I131" s="9"/>
      <c r="J131" s="44"/>
      <c r="K131" s="10"/>
      <c r="L131" s="9">
        <v>202246.44</v>
      </c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7">
        <v>43770</v>
      </c>
      <c r="B132" s="8" t="s">
        <v>204</v>
      </c>
      <c r="C132" s="104" t="s">
        <v>200</v>
      </c>
      <c r="D132" s="9"/>
      <c r="E132" s="9">
        <f t="shared" si="27"/>
        <v>0</v>
      </c>
      <c r="F132" s="9">
        <v>30210.53</v>
      </c>
      <c r="G132" s="9">
        <f t="shared" si="26"/>
        <v>0</v>
      </c>
      <c r="H132" s="9">
        <f t="shared" si="25"/>
        <v>0</v>
      </c>
      <c r="I132" s="9"/>
      <c r="J132" s="44" t="s">
        <v>84</v>
      </c>
      <c r="K132" s="10">
        <v>6861</v>
      </c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7">
        <v>43770</v>
      </c>
      <c r="B133" s="8" t="s">
        <v>205</v>
      </c>
      <c r="C133" s="104" t="s">
        <v>200</v>
      </c>
      <c r="D133" s="9"/>
      <c r="E133" s="9">
        <f t="shared" si="27"/>
        <v>0</v>
      </c>
      <c r="F133" s="9">
        <v>4304.08</v>
      </c>
      <c r="G133" s="9">
        <f t="shared" si="26"/>
        <v>0</v>
      </c>
      <c r="H133" s="9">
        <f t="shared" si="25"/>
        <v>0</v>
      </c>
      <c r="I133" s="9"/>
      <c r="J133" s="44" t="s">
        <v>108</v>
      </c>
      <c r="K133" s="10">
        <v>6873</v>
      </c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7">
        <v>43771</v>
      </c>
      <c r="B134" s="8" t="s">
        <v>206</v>
      </c>
      <c r="C134" s="104" t="s">
        <v>200</v>
      </c>
      <c r="D134" s="9"/>
      <c r="E134" s="9">
        <f t="shared" si="27"/>
        <v>0</v>
      </c>
      <c r="F134" s="9">
        <v>4159.67</v>
      </c>
      <c r="G134" s="9">
        <f t="shared" ref="G134:G149" si="28">IF(J134&gt;0,0,F134)</f>
        <v>0</v>
      </c>
      <c r="H134" s="9">
        <f t="shared" ref="H134:H149" si="29">+D134</f>
        <v>0</v>
      </c>
      <c r="I134" s="9"/>
      <c r="J134" s="44" t="s">
        <v>108</v>
      </c>
      <c r="K134" s="10">
        <v>6873</v>
      </c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7">
        <f>+A134</f>
        <v>43771</v>
      </c>
      <c r="B135" s="8" t="s">
        <v>135</v>
      </c>
      <c r="C135" s="104" t="s">
        <v>200</v>
      </c>
      <c r="D135" s="9">
        <v>15862.48</v>
      </c>
      <c r="E135" s="9">
        <f t="shared" si="27"/>
        <v>15862.48</v>
      </c>
      <c r="F135" s="9"/>
      <c r="G135" s="9">
        <f t="shared" si="28"/>
        <v>0</v>
      </c>
      <c r="H135" s="9">
        <f t="shared" si="29"/>
        <v>15862.48</v>
      </c>
      <c r="I135" s="9"/>
      <c r="J135" s="44"/>
      <c r="K135" s="10">
        <v>4664</v>
      </c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7">
        <v>43777</v>
      </c>
      <c r="B136" s="8" t="s">
        <v>208</v>
      </c>
      <c r="C136" s="104" t="s">
        <v>200</v>
      </c>
      <c r="D136" s="9"/>
      <c r="E136" s="9">
        <f t="shared" si="27"/>
        <v>0</v>
      </c>
      <c r="F136" s="9">
        <v>8954</v>
      </c>
      <c r="G136" s="9">
        <f t="shared" si="28"/>
        <v>0</v>
      </c>
      <c r="H136" s="9">
        <f t="shared" si="29"/>
        <v>0</v>
      </c>
      <c r="I136" s="9"/>
      <c r="J136" s="44" t="s">
        <v>89</v>
      </c>
      <c r="K136" s="10">
        <v>6849</v>
      </c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7">
        <v>43781</v>
      </c>
      <c r="B137" s="8" t="s">
        <v>209</v>
      </c>
      <c r="C137" s="104" t="s">
        <v>119</v>
      </c>
      <c r="D137" s="9"/>
      <c r="E137" s="9">
        <f t="shared" si="27"/>
        <v>0</v>
      </c>
      <c r="F137" s="9"/>
      <c r="G137" s="9">
        <v>68199</v>
      </c>
      <c r="H137" s="9">
        <f t="shared" si="29"/>
        <v>0</v>
      </c>
      <c r="I137" s="9"/>
      <c r="J137" s="44" t="s">
        <v>70</v>
      </c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7">
        <v>43776</v>
      </c>
      <c r="B138" s="8" t="s">
        <v>210</v>
      </c>
      <c r="C138" s="104" t="s">
        <v>200</v>
      </c>
      <c r="D138" s="9"/>
      <c r="E138" s="9">
        <f t="shared" ref="E138:E153" si="30">+D138</f>
        <v>0</v>
      </c>
      <c r="F138" s="9">
        <v>72973.649999999994</v>
      </c>
      <c r="G138" s="9">
        <f t="shared" si="28"/>
        <v>0</v>
      </c>
      <c r="H138" s="9">
        <f t="shared" si="29"/>
        <v>0</v>
      </c>
      <c r="I138" s="9"/>
      <c r="J138" s="44" t="s">
        <v>70</v>
      </c>
      <c r="K138" s="10">
        <v>6812</v>
      </c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7">
        <v>43776</v>
      </c>
      <c r="B139" s="8" t="s">
        <v>211</v>
      </c>
      <c r="C139" s="104" t="s">
        <v>200</v>
      </c>
      <c r="D139" s="9"/>
      <c r="E139" s="9">
        <f t="shared" si="30"/>
        <v>0</v>
      </c>
      <c r="F139" s="9">
        <v>1386499.35</v>
      </c>
      <c r="G139" s="9">
        <f t="shared" si="28"/>
        <v>0</v>
      </c>
      <c r="H139" s="9">
        <f t="shared" si="29"/>
        <v>0</v>
      </c>
      <c r="I139" s="9"/>
      <c r="J139" s="44" t="s">
        <v>70</v>
      </c>
      <c r="K139" s="10">
        <v>6812</v>
      </c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7">
        <v>43762</v>
      </c>
      <c r="B140" s="109" t="s">
        <v>212</v>
      </c>
      <c r="C140" s="104" t="s">
        <v>80</v>
      </c>
      <c r="D140" s="9"/>
      <c r="E140" s="9">
        <f t="shared" si="30"/>
        <v>0</v>
      </c>
      <c r="F140" s="9"/>
      <c r="G140" s="9">
        <f t="shared" si="28"/>
        <v>0</v>
      </c>
      <c r="H140" s="9">
        <f t="shared" si="29"/>
        <v>0</v>
      </c>
      <c r="I140" s="9">
        <v>9229.57</v>
      </c>
      <c r="J140" s="44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7">
        <v>43791</v>
      </c>
      <c r="B141" s="8" t="s">
        <v>213</v>
      </c>
      <c r="C141" s="104" t="s">
        <v>200</v>
      </c>
      <c r="D141" s="9"/>
      <c r="E141" s="9">
        <f t="shared" si="30"/>
        <v>0</v>
      </c>
      <c r="F141" s="9">
        <v>3000</v>
      </c>
      <c r="G141" s="9">
        <f t="shared" si="28"/>
        <v>0</v>
      </c>
      <c r="H141" s="9">
        <f t="shared" si="29"/>
        <v>0</v>
      </c>
      <c r="I141" s="9"/>
      <c r="J141" s="44" t="s">
        <v>79</v>
      </c>
      <c r="K141" s="10">
        <v>6849</v>
      </c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7">
        <v>1126</v>
      </c>
      <c r="B142" s="8" t="s">
        <v>214</v>
      </c>
      <c r="C142" s="104" t="s">
        <v>200</v>
      </c>
      <c r="D142" s="9"/>
      <c r="E142" s="9">
        <f t="shared" si="30"/>
        <v>0</v>
      </c>
      <c r="F142" s="9">
        <v>7152.14</v>
      </c>
      <c r="G142" s="9">
        <f t="shared" si="28"/>
        <v>0</v>
      </c>
      <c r="H142" s="9">
        <f t="shared" si="29"/>
        <v>0</v>
      </c>
      <c r="I142" s="9"/>
      <c r="J142" s="44" t="s">
        <v>108</v>
      </c>
      <c r="K142" s="10">
        <v>6873</v>
      </c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7">
        <v>43802</v>
      </c>
      <c r="B143" s="8" t="s">
        <v>215</v>
      </c>
      <c r="C143" s="104" t="s">
        <v>200</v>
      </c>
      <c r="D143" s="9"/>
      <c r="E143" s="9">
        <f t="shared" si="30"/>
        <v>0</v>
      </c>
      <c r="F143" s="9">
        <v>110</v>
      </c>
      <c r="G143" s="9">
        <f t="shared" si="28"/>
        <v>110</v>
      </c>
      <c r="H143" s="9">
        <f t="shared" si="29"/>
        <v>0</v>
      </c>
      <c r="I143" s="9"/>
      <c r="J143" s="44"/>
      <c r="K143" s="10">
        <v>6861</v>
      </c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7">
        <v>43795</v>
      </c>
      <c r="B144" s="8" t="s">
        <v>216</v>
      </c>
      <c r="C144" s="104" t="s">
        <v>200</v>
      </c>
      <c r="D144" s="9"/>
      <c r="E144" s="9">
        <f t="shared" si="30"/>
        <v>0</v>
      </c>
      <c r="F144" s="9">
        <v>22399.85</v>
      </c>
      <c r="G144" s="9">
        <f t="shared" si="28"/>
        <v>0</v>
      </c>
      <c r="H144" s="9">
        <f t="shared" si="29"/>
        <v>0</v>
      </c>
      <c r="I144" s="9"/>
      <c r="J144" s="44" t="s">
        <v>84</v>
      </c>
      <c r="K144" s="10">
        <v>6861</v>
      </c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7">
        <v>43808</v>
      </c>
      <c r="B145" s="8" t="s">
        <v>217</v>
      </c>
      <c r="C145" s="104" t="s">
        <v>200</v>
      </c>
      <c r="D145" s="9"/>
      <c r="E145" s="9">
        <f t="shared" si="30"/>
        <v>0</v>
      </c>
      <c r="F145" s="9">
        <v>104620.43</v>
      </c>
      <c r="G145" s="9">
        <f t="shared" si="28"/>
        <v>0</v>
      </c>
      <c r="H145" s="9">
        <f t="shared" si="29"/>
        <v>0</v>
      </c>
      <c r="I145" s="9"/>
      <c r="J145" s="44" t="s">
        <v>70</v>
      </c>
      <c r="K145" s="10">
        <v>6812</v>
      </c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7">
        <v>43808</v>
      </c>
      <c r="B146" s="8" t="s">
        <v>218</v>
      </c>
      <c r="C146" s="104" t="s">
        <v>200</v>
      </c>
      <c r="D146" s="9"/>
      <c r="E146" s="9">
        <f t="shared" si="30"/>
        <v>0</v>
      </c>
      <c r="F146" s="9">
        <v>1987787.89</v>
      </c>
      <c r="G146" s="9">
        <f t="shared" si="28"/>
        <v>0</v>
      </c>
      <c r="H146" s="9">
        <f t="shared" si="29"/>
        <v>0</v>
      </c>
      <c r="I146" s="9"/>
      <c r="J146" s="44" t="s">
        <v>70</v>
      </c>
      <c r="K146" s="10">
        <v>6812</v>
      </c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7">
        <v>43802</v>
      </c>
      <c r="B147" s="109" t="s">
        <v>219</v>
      </c>
      <c r="C147" s="104" t="s">
        <v>80</v>
      </c>
      <c r="D147" s="9"/>
      <c r="E147" s="9">
        <f t="shared" si="30"/>
        <v>0</v>
      </c>
      <c r="F147" s="9"/>
      <c r="G147" s="9">
        <f t="shared" si="28"/>
        <v>0</v>
      </c>
      <c r="H147" s="9">
        <f t="shared" si="29"/>
        <v>0</v>
      </c>
      <c r="I147" s="9">
        <v>202246.44</v>
      </c>
      <c r="J147" s="44"/>
      <c r="K147" s="10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7">
        <v>43815</v>
      </c>
      <c r="B148" s="109" t="s">
        <v>220</v>
      </c>
      <c r="C148" s="104" t="s">
        <v>80</v>
      </c>
      <c r="D148" s="9"/>
      <c r="E148" s="9">
        <f t="shared" si="30"/>
        <v>0</v>
      </c>
      <c r="F148" s="9"/>
      <c r="G148" s="9">
        <f t="shared" si="28"/>
        <v>0</v>
      </c>
      <c r="H148" s="9">
        <f t="shared" si="29"/>
        <v>0</v>
      </c>
      <c r="I148" s="9"/>
      <c r="J148" s="44"/>
      <c r="K148" s="10"/>
      <c r="L148" s="9">
        <v>419096.72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7">
        <f>+A148</f>
        <v>43815</v>
      </c>
      <c r="B149" s="8" t="s">
        <v>223</v>
      </c>
      <c r="C149" s="104" t="s">
        <v>200</v>
      </c>
      <c r="D149" s="9">
        <v>5291.77</v>
      </c>
      <c r="E149" s="9">
        <f t="shared" si="30"/>
        <v>5291.77</v>
      </c>
      <c r="F149" s="9"/>
      <c r="G149" s="9">
        <f t="shared" si="28"/>
        <v>0</v>
      </c>
      <c r="H149" s="9">
        <f t="shared" si="29"/>
        <v>5291.77</v>
      </c>
      <c r="I149" s="9"/>
      <c r="J149" s="44"/>
      <c r="K149" s="10">
        <v>4664</v>
      </c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7">
        <f>+A149</f>
        <v>43815</v>
      </c>
      <c r="B150" s="137" t="s">
        <v>224</v>
      </c>
      <c r="C150" s="104" t="s">
        <v>200</v>
      </c>
      <c r="D150" s="9">
        <v>190408.98</v>
      </c>
      <c r="E150" s="9">
        <f t="shared" si="30"/>
        <v>190408.98</v>
      </c>
      <c r="F150" s="9"/>
      <c r="G150" s="9">
        <f t="shared" ref="G150:G164" si="31">IF(J150&gt;0,0,F150)</f>
        <v>0</v>
      </c>
      <c r="H150" s="9">
        <f t="shared" ref="H150:H165" si="32">+D150</f>
        <v>190408.98</v>
      </c>
      <c r="I150" s="9"/>
      <c r="J150" s="44"/>
      <c r="K150" s="10">
        <v>4761</v>
      </c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7">
        <v>43818</v>
      </c>
      <c r="B151" s="8" t="s">
        <v>225</v>
      </c>
      <c r="C151" s="104" t="s">
        <v>200</v>
      </c>
      <c r="D151" s="9"/>
      <c r="E151" s="9">
        <f t="shared" si="30"/>
        <v>0</v>
      </c>
      <c r="F151" s="9">
        <v>231575</v>
      </c>
      <c r="G151" s="9">
        <f t="shared" si="31"/>
        <v>0</v>
      </c>
      <c r="H151" s="9">
        <f t="shared" si="32"/>
        <v>0</v>
      </c>
      <c r="I151" s="9"/>
      <c r="J151" s="44" t="s">
        <v>226</v>
      </c>
      <c r="K151" s="10">
        <v>6819</v>
      </c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7">
        <v>43819</v>
      </c>
      <c r="B152" s="8" t="s">
        <v>227</v>
      </c>
      <c r="C152" s="104" t="s">
        <v>119</v>
      </c>
      <c r="D152" s="9"/>
      <c r="E152" s="9">
        <f t="shared" si="30"/>
        <v>0</v>
      </c>
      <c r="F152" s="9"/>
      <c r="G152" s="9">
        <v>173959</v>
      </c>
      <c r="H152" s="9">
        <f t="shared" si="32"/>
        <v>0</v>
      </c>
      <c r="I152" s="9"/>
      <c r="J152" s="44" t="s">
        <v>70</v>
      </c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7">
        <v>43819</v>
      </c>
      <c r="B153" s="8" t="s">
        <v>228</v>
      </c>
      <c r="C153" s="104" t="s">
        <v>119</v>
      </c>
      <c r="D153" s="9"/>
      <c r="E153" s="9">
        <f t="shared" si="30"/>
        <v>0</v>
      </c>
      <c r="F153" s="9"/>
      <c r="G153" s="9">
        <v>25801</v>
      </c>
      <c r="H153" s="9">
        <f t="shared" si="32"/>
        <v>0</v>
      </c>
      <c r="I153" s="9"/>
      <c r="J153" s="44" t="s">
        <v>70</v>
      </c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7">
        <v>43819</v>
      </c>
      <c r="B154" s="8" t="s">
        <v>229</v>
      </c>
      <c r="C154" s="104" t="s">
        <v>200</v>
      </c>
      <c r="D154" s="9"/>
      <c r="E154" s="9">
        <f t="shared" ref="E154:E169" si="33">+D154</f>
        <v>0</v>
      </c>
      <c r="F154" s="9">
        <v>95963.74</v>
      </c>
      <c r="G154" s="9">
        <v>0</v>
      </c>
      <c r="H154" s="9">
        <f t="shared" si="32"/>
        <v>0</v>
      </c>
      <c r="I154" s="9"/>
      <c r="J154" s="44" t="s">
        <v>70</v>
      </c>
      <c r="K154" s="10">
        <v>6812</v>
      </c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7">
        <v>43819</v>
      </c>
      <c r="B155" s="8" t="s">
        <v>230</v>
      </c>
      <c r="C155" s="104" t="s">
        <v>200</v>
      </c>
      <c r="D155" s="9"/>
      <c r="E155" s="9">
        <f t="shared" si="33"/>
        <v>0</v>
      </c>
      <c r="F155" s="9">
        <v>1823311.65</v>
      </c>
      <c r="G155" s="9">
        <f t="shared" si="31"/>
        <v>0</v>
      </c>
      <c r="H155" s="9">
        <f t="shared" si="32"/>
        <v>0</v>
      </c>
      <c r="I155" s="9"/>
      <c r="J155" s="44" t="s">
        <v>70</v>
      </c>
      <c r="K155" s="10">
        <v>6812</v>
      </c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7">
        <v>43822</v>
      </c>
      <c r="B156" s="8" t="s">
        <v>231</v>
      </c>
      <c r="C156" s="104" t="s">
        <v>200</v>
      </c>
      <c r="D156" s="9"/>
      <c r="E156" s="9">
        <f t="shared" si="33"/>
        <v>0</v>
      </c>
      <c r="F156" s="9">
        <v>2757.35</v>
      </c>
      <c r="G156" s="9">
        <f t="shared" si="31"/>
        <v>0</v>
      </c>
      <c r="H156" s="9">
        <f t="shared" si="32"/>
        <v>0</v>
      </c>
      <c r="I156" s="9"/>
      <c r="J156" s="44" t="s">
        <v>86</v>
      </c>
      <c r="K156" s="10">
        <v>6812</v>
      </c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7">
        <v>43823</v>
      </c>
      <c r="B157" s="8" t="s">
        <v>232</v>
      </c>
      <c r="C157" s="104" t="s">
        <v>200</v>
      </c>
      <c r="D157" s="9"/>
      <c r="E157" s="9">
        <f t="shared" si="33"/>
        <v>0</v>
      </c>
      <c r="F157" s="9">
        <v>2000</v>
      </c>
      <c r="G157" s="9">
        <f t="shared" si="31"/>
        <v>0</v>
      </c>
      <c r="H157" s="9">
        <f t="shared" si="32"/>
        <v>0</v>
      </c>
      <c r="I157" s="9"/>
      <c r="J157" s="44" t="s">
        <v>79</v>
      </c>
      <c r="K157" s="10">
        <v>6849</v>
      </c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7">
        <v>43826</v>
      </c>
      <c r="B158" s="8" t="s">
        <v>233</v>
      </c>
      <c r="C158" s="104" t="s">
        <v>200</v>
      </c>
      <c r="D158" s="9"/>
      <c r="E158" s="9">
        <f t="shared" si="33"/>
        <v>0</v>
      </c>
      <c r="F158" s="9">
        <v>21241.78</v>
      </c>
      <c r="G158" s="9">
        <f t="shared" si="31"/>
        <v>0</v>
      </c>
      <c r="H158" s="9">
        <f t="shared" si="32"/>
        <v>0</v>
      </c>
      <c r="I158" s="9"/>
      <c r="J158" s="44" t="s">
        <v>84</v>
      </c>
      <c r="K158" s="10">
        <v>6861</v>
      </c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7">
        <v>43829</v>
      </c>
      <c r="B159" s="8" t="s">
        <v>234</v>
      </c>
      <c r="C159" s="104" t="s">
        <v>200</v>
      </c>
      <c r="D159" s="9"/>
      <c r="E159" s="9">
        <f t="shared" si="33"/>
        <v>0</v>
      </c>
      <c r="F159" s="9">
        <v>3528.59</v>
      </c>
      <c r="G159" s="9">
        <f t="shared" si="31"/>
        <v>0</v>
      </c>
      <c r="H159" s="9">
        <f t="shared" si="32"/>
        <v>0</v>
      </c>
      <c r="I159" s="9"/>
      <c r="J159" s="44" t="s">
        <v>108</v>
      </c>
      <c r="K159" s="10">
        <v>6873</v>
      </c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7">
        <v>44184</v>
      </c>
      <c r="B160" s="8" t="s">
        <v>235</v>
      </c>
      <c r="C160" s="104" t="s">
        <v>200</v>
      </c>
      <c r="D160" s="9"/>
      <c r="E160" s="9">
        <f t="shared" si="33"/>
        <v>0</v>
      </c>
      <c r="F160" s="9">
        <v>12189</v>
      </c>
      <c r="G160" s="9">
        <f t="shared" si="31"/>
        <v>0</v>
      </c>
      <c r="H160" s="9">
        <f t="shared" si="32"/>
        <v>0</v>
      </c>
      <c r="I160" s="9"/>
      <c r="J160" s="44" t="s">
        <v>139</v>
      </c>
      <c r="K160" s="10">
        <v>6819</v>
      </c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7">
        <v>44177</v>
      </c>
      <c r="B161" s="8" t="s">
        <v>236</v>
      </c>
      <c r="C161" s="104" t="s">
        <v>200</v>
      </c>
      <c r="D161" s="9"/>
      <c r="E161" s="9">
        <f t="shared" si="33"/>
        <v>0</v>
      </c>
      <c r="F161" s="9">
        <f>110+110</f>
        <v>220</v>
      </c>
      <c r="G161" s="9">
        <f t="shared" si="31"/>
        <v>220</v>
      </c>
      <c r="H161" s="9">
        <f t="shared" si="32"/>
        <v>0</v>
      </c>
      <c r="I161" s="9"/>
      <c r="J161" s="44"/>
      <c r="K161" s="10">
        <v>6861</v>
      </c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7">
        <v>43844</v>
      </c>
      <c r="B162" s="109" t="s">
        <v>237</v>
      </c>
      <c r="C162" s="104" t="s">
        <v>80</v>
      </c>
      <c r="D162" s="9"/>
      <c r="E162" s="9">
        <f t="shared" si="33"/>
        <v>0</v>
      </c>
      <c r="F162" s="9"/>
      <c r="G162" s="9">
        <f t="shared" si="31"/>
        <v>0</v>
      </c>
      <c r="H162" s="9">
        <f t="shared" si="32"/>
        <v>0</v>
      </c>
      <c r="I162" s="9"/>
      <c r="J162" s="44"/>
      <c r="K162" s="10"/>
      <c r="L162" s="9">
        <v>253013.9</v>
      </c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7">
        <v>43846</v>
      </c>
      <c r="B163" s="8" t="s">
        <v>238</v>
      </c>
      <c r="C163" s="104" t="s">
        <v>200</v>
      </c>
      <c r="D163" s="9"/>
      <c r="E163" s="9">
        <f t="shared" si="33"/>
        <v>0</v>
      </c>
      <c r="F163" s="9">
        <f>110+110+110</f>
        <v>330</v>
      </c>
      <c r="G163" s="9">
        <f t="shared" si="31"/>
        <v>330</v>
      </c>
      <c r="H163" s="9">
        <f t="shared" si="32"/>
        <v>0</v>
      </c>
      <c r="I163" s="9"/>
      <c r="J163" s="44"/>
      <c r="K163" s="10">
        <v>6861</v>
      </c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7">
        <f>+A163</f>
        <v>43846</v>
      </c>
      <c r="B164" s="8" t="s">
        <v>239</v>
      </c>
      <c r="C164" s="104" t="s">
        <v>200</v>
      </c>
      <c r="D164" s="9">
        <v>100871</v>
      </c>
      <c r="E164" s="9">
        <f t="shared" si="33"/>
        <v>100871</v>
      </c>
      <c r="F164" s="9"/>
      <c r="G164" s="9">
        <f t="shared" si="31"/>
        <v>0</v>
      </c>
      <c r="H164" s="9">
        <f t="shared" si="32"/>
        <v>100871</v>
      </c>
      <c r="I164" s="9"/>
      <c r="J164" s="44"/>
      <c r="K164" s="10">
        <v>4664</v>
      </c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7">
        <v>43857</v>
      </c>
      <c r="B165" s="8" t="s">
        <v>240</v>
      </c>
      <c r="C165" s="104" t="s">
        <v>119</v>
      </c>
      <c r="D165" s="9"/>
      <c r="E165" s="9">
        <f t="shared" si="33"/>
        <v>0</v>
      </c>
      <c r="F165" s="9"/>
      <c r="G165" s="9">
        <v>100871</v>
      </c>
      <c r="H165" s="9">
        <f t="shared" si="32"/>
        <v>0</v>
      </c>
      <c r="I165" s="9"/>
      <c r="J165" s="44" t="s">
        <v>139</v>
      </c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7">
        <v>43857</v>
      </c>
      <c r="B166" s="8" t="s">
        <v>241</v>
      </c>
      <c r="C166" s="104" t="s">
        <v>200</v>
      </c>
      <c r="D166" s="9"/>
      <c r="E166" s="9">
        <f t="shared" si="33"/>
        <v>0</v>
      </c>
      <c r="F166" s="9">
        <v>21639.42</v>
      </c>
      <c r="G166" s="9">
        <f t="shared" ref="G166:G181" si="34">IF(J166&gt;0,0,F166)</f>
        <v>0</v>
      </c>
      <c r="H166" s="9">
        <f t="shared" ref="H166:H181" si="35">+D166</f>
        <v>0</v>
      </c>
      <c r="I166" s="9"/>
      <c r="J166" s="44" t="s">
        <v>84</v>
      </c>
      <c r="K166" s="10">
        <v>6861</v>
      </c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7">
        <v>43857</v>
      </c>
      <c r="B167" s="8" t="s">
        <v>242</v>
      </c>
      <c r="C167" s="104" t="s">
        <v>200</v>
      </c>
      <c r="D167" s="9"/>
      <c r="E167" s="9">
        <f t="shared" si="33"/>
        <v>0</v>
      </c>
      <c r="F167" s="9">
        <v>1056.3900000000001</v>
      </c>
      <c r="G167" s="9">
        <f t="shared" si="34"/>
        <v>0</v>
      </c>
      <c r="H167" s="9">
        <f t="shared" si="35"/>
        <v>0</v>
      </c>
      <c r="I167" s="9"/>
      <c r="J167" s="44" t="s">
        <v>108</v>
      </c>
      <c r="K167" s="10">
        <v>6873</v>
      </c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7">
        <v>43861</v>
      </c>
      <c r="B168" s="8" t="s">
        <v>243</v>
      </c>
      <c r="C168" s="104" t="s">
        <v>200</v>
      </c>
      <c r="D168" s="9"/>
      <c r="E168" s="9">
        <f t="shared" si="33"/>
        <v>0</v>
      </c>
      <c r="F168" s="9">
        <v>65043.38</v>
      </c>
      <c r="G168" s="9">
        <f t="shared" si="34"/>
        <v>0</v>
      </c>
      <c r="H168" s="9">
        <f t="shared" si="35"/>
        <v>0</v>
      </c>
      <c r="I168" s="9"/>
      <c r="J168" s="44" t="s">
        <v>70</v>
      </c>
      <c r="K168" s="10">
        <v>6812</v>
      </c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7">
        <v>43865</v>
      </c>
      <c r="B169" s="8" t="s">
        <v>244</v>
      </c>
      <c r="C169" s="104" t="s">
        <v>200</v>
      </c>
      <c r="D169" s="9"/>
      <c r="E169" s="9">
        <f t="shared" si="33"/>
        <v>0</v>
      </c>
      <c r="F169" s="9">
        <v>1235824.1499999999</v>
      </c>
      <c r="G169" s="9">
        <f t="shared" si="34"/>
        <v>0</v>
      </c>
      <c r="H169" s="9">
        <f t="shared" si="35"/>
        <v>0</v>
      </c>
      <c r="I169" s="9"/>
      <c r="J169" s="44" t="s">
        <v>70</v>
      </c>
      <c r="K169" s="10">
        <v>6812</v>
      </c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7">
        <v>43858</v>
      </c>
      <c r="B170" s="8" t="s">
        <v>245</v>
      </c>
      <c r="C170" s="104" t="s">
        <v>200</v>
      </c>
      <c r="D170" s="9"/>
      <c r="E170" s="9">
        <f t="shared" ref="E170:E185" si="36">+D170</f>
        <v>0</v>
      </c>
      <c r="F170" s="9">
        <v>5044</v>
      </c>
      <c r="G170" s="9">
        <f t="shared" si="34"/>
        <v>0</v>
      </c>
      <c r="H170" s="9">
        <f t="shared" si="35"/>
        <v>0</v>
      </c>
      <c r="I170" s="9"/>
      <c r="J170" s="44" t="s">
        <v>139</v>
      </c>
      <c r="K170" s="10">
        <v>6819</v>
      </c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7">
        <v>43858</v>
      </c>
      <c r="B171" s="8" t="s">
        <v>246</v>
      </c>
      <c r="C171" s="104" t="s">
        <v>200</v>
      </c>
      <c r="D171" s="9"/>
      <c r="E171" s="9">
        <f t="shared" si="36"/>
        <v>0</v>
      </c>
      <c r="F171" s="9">
        <v>95827</v>
      </c>
      <c r="G171" s="9">
        <f t="shared" si="34"/>
        <v>0</v>
      </c>
      <c r="H171" s="9">
        <f t="shared" si="35"/>
        <v>0</v>
      </c>
      <c r="I171" s="9"/>
      <c r="J171" s="44" t="s">
        <v>139</v>
      </c>
      <c r="K171" s="10">
        <v>6819</v>
      </c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7">
        <v>43857</v>
      </c>
      <c r="B172" s="109" t="s">
        <v>247</v>
      </c>
      <c r="C172" s="104" t="s">
        <v>80</v>
      </c>
      <c r="D172" s="9"/>
      <c r="E172" s="9">
        <f t="shared" si="36"/>
        <v>0</v>
      </c>
      <c r="F172" s="9"/>
      <c r="G172" s="9">
        <f t="shared" si="34"/>
        <v>0</v>
      </c>
      <c r="H172" s="9">
        <f t="shared" si="35"/>
        <v>0</v>
      </c>
      <c r="I172" s="9">
        <v>419096.72</v>
      </c>
      <c r="J172" s="44"/>
      <c r="K172" s="10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7">
        <v>43862</v>
      </c>
      <c r="B173" s="8" t="s">
        <v>248</v>
      </c>
      <c r="C173" s="104" t="s">
        <v>200</v>
      </c>
      <c r="D173" s="9">
        <v>81416</v>
      </c>
      <c r="E173" s="9">
        <f t="shared" si="36"/>
        <v>81416</v>
      </c>
      <c r="F173" s="9"/>
      <c r="G173" s="9">
        <f t="shared" si="34"/>
        <v>0</v>
      </c>
      <c r="H173" s="9">
        <f t="shared" si="35"/>
        <v>81416</v>
      </c>
      <c r="I173" s="9"/>
      <c r="J173" s="44"/>
      <c r="K173" s="10">
        <v>4664</v>
      </c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7">
        <v>43872</v>
      </c>
      <c r="B174" s="8" t="s">
        <v>249</v>
      </c>
      <c r="C174" s="104" t="s">
        <v>119</v>
      </c>
      <c r="D174" s="9"/>
      <c r="E174" s="9">
        <f t="shared" si="36"/>
        <v>0</v>
      </c>
      <c r="F174" s="9"/>
      <c r="G174" s="9">
        <v>81416</v>
      </c>
      <c r="H174" s="9">
        <f t="shared" si="35"/>
        <v>0</v>
      </c>
      <c r="I174" s="9"/>
      <c r="J174" s="44" t="s">
        <v>139</v>
      </c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7">
        <v>43879</v>
      </c>
      <c r="B175" s="109" t="s">
        <v>250</v>
      </c>
      <c r="C175" s="104" t="s">
        <v>80</v>
      </c>
      <c r="D175" s="9"/>
      <c r="E175" s="9">
        <f t="shared" si="36"/>
        <v>0</v>
      </c>
      <c r="F175" s="9"/>
      <c r="G175" s="9">
        <f t="shared" si="34"/>
        <v>0</v>
      </c>
      <c r="H175" s="9">
        <f t="shared" si="35"/>
        <v>0</v>
      </c>
      <c r="I175" s="9"/>
      <c r="J175" s="44" t="s">
        <v>252</v>
      </c>
      <c r="K175" s="10">
        <v>6861</v>
      </c>
      <c r="L175" s="9">
        <v>164395.89000000001</v>
      </c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7">
        <v>43880</v>
      </c>
      <c r="B176" s="8" t="s">
        <v>251</v>
      </c>
      <c r="C176" s="104" t="s">
        <v>200</v>
      </c>
      <c r="D176" s="9"/>
      <c r="E176" s="9">
        <f t="shared" si="36"/>
        <v>0</v>
      </c>
      <c r="F176" s="9">
        <v>21338.959999999999</v>
      </c>
      <c r="G176" s="9">
        <f t="shared" si="34"/>
        <v>0</v>
      </c>
      <c r="H176" s="9">
        <f t="shared" si="35"/>
        <v>0</v>
      </c>
      <c r="I176" s="9"/>
      <c r="J176" s="44" t="s">
        <v>84</v>
      </c>
      <c r="K176" s="10">
        <v>6861</v>
      </c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7">
        <v>43881</v>
      </c>
      <c r="B177" s="8" t="s">
        <v>253</v>
      </c>
      <c r="C177" s="104" t="s">
        <v>200</v>
      </c>
      <c r="D177" s="9"/>
      <c r="E177" s="9">
        <f t="shared" si="36"/>
        <v>0</v>
      </c>
      <c r="F177" s="9">
        <v>808.26</v>
      </c>
      <c r="G177" s="9"/>
      <c r="H177" s="9">
        <f t="shared" si="35"/>
        <v>0</v>
      </c>
      <c r="I177" s="9"/>
      <c r="J177" s="44" t="s">
        <v>108</v>
      </c>
      <c r="K177" s="10">
        <v>6873</v>
      </c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7">
        <v>43888</v>
      </c>
      <c r="B178" s="8" t="s">
        <v>254</v>
      </c>
      <c r="C178" s="104" t="s">
        <v>200</v>
      </c>
      <c r="D178" s="9"/>
      <c r="E178" s="9">
        <f t="shared" si="36"/>
        <v>0</v>
      </c>
      <c r="F178" s="9">
        <v>74870.509999999995</v>
      </c>
      <c r="G178" s="9">
        <f t="shared" si="34"/>
        <v>0</v>
      </c>
      <c r="H178" s="9">
        <f t="shared" si="35"/>
        <v>0</v>
      </c>
      <c r="I178" s="9"/>
      <c r="J178" s="44" t="s">
        <v>70</v>
      </c>
      <c r="K178" s="10">
        <v>6812</v>
      </c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7">
        <v>43888</v>
      </c>
      <c r="B179" s="8" t="s">
        <v>255</v>
      </c>
      <c r="C179" s="104" t="s">
        <v>200</v>
      </c>
      <c r="D179" s="9"/>
      <c r="E179" s="9">
        <f t="shared" si="36"/>
        <v>0</v>
      </c>
      <c r="F179" s="9">
        <v>1422539.65</v>
      </c>
      <c r="G179" s="9">
        <f t="shared" si="34"/>
        <v>0</v>
      </c>
      <c r="H179" s="9">
        <f t="shared" si="35"/>
        <v>0</v>
      </c>
      <c r="I179" s="9"/>
      <c r="J179" s="44" t="s">
        <v>70</v>
      </c>
      <c r="K179" s="10">
        <v>6812</v>
      </c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7">
        <v>43892</v>
      </c>
      <c r="B180" s="8" t="s">
        <v>256</v>
      </c>
      <c r="C180" s="104" t="s">
        <v>200</v>
      </c>
      <c r="D180" s="9"/>
      <c r="E180" s="9">
        <f t="shared" si="36"/>
        <v>0</v>
      </c>
      <c r="F180" s="9">
        <v>77345</v>
      </c>
      <c r="G180" s="9">
        <f t="shared" si="34"/>
        <v>0</v>
      </c>
      <c r="H180" s="9">
        <f t="shared" si="35"/>
        <v>0</v>
      </c>
      <c r="I180" s="9"/>
      <c r="J180" s="44" t="s">
        <v>139</v>
      </c>
      <c r="K180" s="10">
        <v>6819</v>
      </c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7">
        <v>43892</v>
      </c>
      <c r="B181" s="8" t="s">
        <v>257</v>
      </c>
      <c r="C181" s="104" t="s">
        <v>200</v>
      </c>
      <c r="D181" s="9"/>
      <c r="E181" s="9">
        <f t="shared" si="36"/>
        <v>0</v>
      </c>
      <c r="F181" s="9">
        <v>4071</v>
      </c>
      <c r="G181" s="9">
        <f t="shared" si="34"/>
        <v>0</v>
      </c>
      <c r="H181" s="9">
        <f t="shared" si="35"/>
        <v>0</v>
      </c>
      <c r="I181" s="9"/>
      <c r="J181" s="44" t="s">
        <v>139</v>
      </c>
      <c r="K181" s="10">
        <v>6819</v>
      </c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7">
        <v>43881</v>
      </c>
      <c r="B182" s="109" t="s">
        <v>258</v>
      </c>
      <c r="C182" s="104" t="s">
        <v>80</v>
      </c>
      <c r="D182" s="9"/>
      <c r="E182" s="9">
        <f t="shared" si="36"/>
        <v>0</v>
      </c>
      <c r="F182" s="9"/>
      <c r="G182" s="9"/>
      <c r="H182" s="9">
        <f t="shared" ref="H182:H199" si="37">+D182</f>
        <v>0</v>
      </c>
      <c r="I182" s="9">
        <v>253013.9</v>
      </c>
      <c r="J182" s="44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7">
        <v>43900</v>
      </c>
      <c r="B183" s="109" t="s">
        <v>259</v>
      </c>
      <c r="C183" s="104" t="s">
        <v>80</v>
      </c>
      <c r="D183" s="9"/>
      <c r="E183" s="9">
        <f t="shared" si="36"/>
        <v>0</v>
      </c>
      <c r="F183" s="9"/>
      <c r="G183" s="9">
        <f t="shared" ref="G183:G199" si="38">IF(J183&gt;0,0,F183)</f>
        <v>0</v>
      </c>
      <c r="H183" s="9">
        <f t="shared" si="37"/>
        <v>0</v>
      </c>
      <c r="I183" s="9"/>
      <c r="J183" s="44"/>
      <c r="K183" s="10"/>
      <c r="L183" s="9">
        <v>184727.69</v>
      </c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7">
        <v>43903</v>
      </c>
      <c r="B184" s="8" t="s">
        <v>260</v>
      </c>
      <c r="C184" s="104" t="s">
        <v>200</v>
      </c>
      <c r="D184" s="9"/>
      <c r="E184" s="9">
        <f t="shared" si="36"/>
        <v>0</v>
      </c>
      <c r="F184" s="9">
        <v>30210.53</v>
      </c>
      <c r="G184" s="9">
        <f t="shared" si="38"/>
        <v>0</v>
      </c>
      <c r="H184" s="9">
        <f t="shared" si="37"/>
        <v>0</v>
      </c>
      <c r="I184" s="9"/>
      <c r="J184" s="44" t="s">
        <v>84</v>
      </c>
      <c r="K184" s="10">
        <v>6861</v>
      </c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7">
        <v>43901</v>
      </c>
      <c r="B185" s="8" t="s">
        <v>261</v>
      </c>
      <c r="C185" s="104" t="s">
        <v>200</v>
      </c>
      <c r="D185" s="9"/>
      <c r="E185" s="9">
        <f t="shared" si="36"/>
        <v>0</v>
      </c>
      <c r="F185" s="9">
        <v>8996.2999999999993</v>
      </c>
      <c r="G185" s="9">
        <f t="shared" si="38"/>
        <v>0</v>
      </c>
      <c r="H185" s="9">
        <f t="shared" si="37"/>
        <v>0</v>
      </c>
      <c r="I185" s="9"/>
      <c r="J185" s="44" t="s">
        <v>86</v>
      </c>
      <c r="K185" s="10">
        <v>6812</v>
      </c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7">
        <v>43901</v>
      </c>
      <c r="B186" s="8" t="s">
        <v>262</v>
      </c>
      <c r="C186" s="104" t="s">
        <v>200</v>
      </c>
      <c r="D186" s="9"/>
      <c r="E186" s="9">
        <f t="shared" ref="E186:E201" si="39">+D186</f>
        <v>0</v>
      </c>
      <c r="F186" s="9">
        <v>1320</v>
      </c>
      <c r="G186" s="9">
        <f t="shared" si="38"/>
        <v>0</v>
      </c>
      <c r="H186" s="9">
        <f t="shared" si="37"/>
        <v>0</v>
      </c>
      <c r="I186" s="9"/>
      <c r="J186" s="44" t="s">
        <v>101</v>
      </c>
      <c r="K186" s="10">
        <v>6849</v>
      </c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7">
        <v>43901</v>
      </c>
      <c r="B187" s="8" t="s">
        <v>263</v>
      </c>
      <c r="C187" s="104" t="s">
        <v>200</v>
      </c>
      <c r="D187" s="9"/>
      <c r="E187" s="9">
        <f t="shared" si="39"/>
        <v>0</v>
      </c>
      <c r="F187" s="9">
        <v>1300</v>
      </c>
      <c r="G187" s="9">
        <f t="shared" si="38"/>
        <v>0</v>
      </c>
      <c r="H187" s="9">
        <f t="shared" si="37"/>
        <v>0</v>
      </c>
      <c r="I187" s="9"/>
      <c r="J187" s="44" t="s">
        <v>79</v>
      </c>
      <c r="K187" s="10">
        <v>6849</v>
      </c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7">
        <v>43906</v>
      </c>
      <c r="B188" s="8" t="s">
        <v>264</v>
      </c>
      <c r="C188" s="104" t="s">
        <v>200</v>
      </c>
      <c r="D188" s="9"/>
      <c r="E188" s="9">
        <f t="shared" si="39"/>
        <v>0</v>
      </c>
      <c r="F188" s="9">
        <v>1511345.68</v>
      </c>
      <c r="G188" s="9">
        <f t="shared" si="38"/>
        <v>0</v>
      </c>
      <c r="H188" s="9">
        <f t="shared" si="37"/>
        <v>0</v>
      </c>
      <c r="I188" s="9"/>
      <c r="J188" s="44" t="s">
        <v>70</v>
      </c>
      <c r="K188" s="10">
        <v>6812</v>
      </c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7">
        <v>43906</v>
      </c>
      <c r="B189" s="8" t="s">
        <v>265</v>
      </c>
      <c r="C189" s="104" t="s">
        <v>200</v>
      </c>
      <c r="D189" s="9"/>
      <c r="E189" s="9">
        <f t="shared" si="39"/>
        <v>0</v>
      </c>
      <c r="F189" s="9">
        <v>79544.52</v>
      </c>
      <c r="G189" s="9">
        <f t="shared" si="38"/>
        <v>0</v>
      </c>
      <c r="H189" s="9">
        <f t="shared" si="37"/>
        <v>0</v>
      </c>
      <c r="I189" s="9"/>
      <c r="J189" s="44" t="s">
        <v>70</v>
      </c>
      <c r="K189" s="10">
        <v>6812</v>
      </c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7">
        <v>43910</v>
      </c>
      <c r="B190" s="8" t="s">
        <v>266</v>
      </c>
      <c r="C190" s="104" t="s">
        <v>200</v>
      </c>
      <c r="D190" s="9"/>
      <c r="E190" s="9">
        <f t="shared" si="39"/>
        <v>0</v>
      </c>
      <c r="F190" s="9">
        <v>788.82</v>
      </c>
      <c r="G190" s="9">
        <f t="shared" si="38"/>
        <v>0</v>
      </c>
      <c r="H190" s="9">
        <f t="shared" si="37"/>
        <v>0</v>
      </c>
      <c r="I190" s="9"/>
      <c r="J190" s="44" t="s">
        <v>108</v>
      </c>
      <c r="K190" s="10">
        <v>6873</v>
      </c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7">
        <v>43920</v>
      </c>
      <c r="B191" s="109" t="s">
        <v>267</v>
      </c>
      <c r="C191" s="104" t="s">
        <v>80</v>
      </c>
      <c r="D191" s="9"/>
      <c r="E191" s="9">
        <f t="shared" si="39"/>
        <v>0</v>
      </c>
      <c r="F191" s="9"/>
      <c r="G191" s="9">
        <f t="shared" si="38"/>
        <v>0</v>
      </c>
      <c r="H191" s="9">
        <f t="shared" si="37"/>
        <v>0</v>
      </c>
      <c r="I191" s="9">
        <v>164395.89000000001</v>
      </c>
      <c r="J191" s="44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7">
        <v>43924</v>
      </c>
      <c r="B192" s="8" t="s">
        <v>268</v>
      </c>
      <c r="C192" s="104" t="s">
        <v>200</v>
      </c>
      <c r="D192" s="9"/>
      <c r="E192" s="9">
        <f t="shared" si="39"/>
        <v>0</v>
      </c>
      <c r="F192" s="9">
        <v>57968.75</v>
      </c>
      <c r="G192" s="9">
        <f t="shared" si="38"/>
        <v>0</v>
      </c>
      <c r="H192" s="9">
        <f t="shared" si="37"/>
        <v>0</v>
      </c>
      <c r="I192" s="9"/>
      <c r="J192" s="44" t="s">
        <v>117</v>
      </c>
      <c r="K192" s="10">
        <v>6819</v>
      </c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7">
        <v>43930</v>
      </c>
      <c r="B193" s="8" t="s">
        <v>269</v>
      </c>
      <c r="C193" s="104" t="s">
        <v>200</v>
      </c>
      <c r="D193" s="9"/>
      <c r="E193" s="9">
        <f t="shared" si="39"/>
        <v>0</v>
      </c>
      <c r="F193" s="9">
        <v>110</v>
      </c>
      <c r="G193" s="9">
        <f t="shared" si="38"/>
        <v>110</v>
      </c>
      <c r="H193" s="9">
        <f t="shared" si="37"/>
        <v>0</v>
      </c>
      <c r="I193" s="9"/>
      <c r="J193" s="44"/>
      <c r="K193" s="10">
        <v>6861</v>
      </c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7">
        <v>43934</v>
      </c>
      <c r="B194" s="109" t="s">
        <v>270</v>
      </c>
      <c r="C194" s="104" t="s">
        <v>80</v>
      </c>
      <c r="D194" s="9"/>
      <c r="E194" s="9">
        <f t="shared" si="39"/>
        <v>0</v>
      </c>
      <c r="F194" s="9"/>
      <c r="G194" s="9">
        <f t="shared" si="38"/>
        <v>0</v>
      </c>
      <c r="H194" s="9">
        <f t="shared" si="37"/>
        <v>0</v>
      </c>
      <c r="I194" s="9"/>
      <c r="J194" s="44"/>
      <c r="K194" s="10"/>
      <c r="L194" s="9">
        <v>195182.85</v>
      </c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7">
        <v>43938</v>
      </c>
      <c r="B195" s="8" t="s">
        <v>271</v>
      </c>
      <c r="C195" s="104" t="s">
        <v>200</v>
      </c>
      <c r="D195" s="9"/>
      <c r="E195" s="9">
        <f t="shared" si="39"/>
        <v>0</v>
      </c>
      <c r="F195" s="9">
        <v>691.04</v>
      </c>
      <c r="G195" s="9">
        <f t="shared" si="38"/>
        <v>0</v>
      </c>
      <c r="H195" s="9">
        <f t="shared" si="37"/>
        <v>0</v>
      </c>
      <c r="I195" s="9"/>
      <c r="J195" s="44" t="s">
        <v>108</v>
      </c>
      <c r="K195" s="10">
        <v>6873</v>
      </c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7">
        <v>43941</v>
      </c>
      <c r="B196" s="8" t="s">
        <v>272</v>
      </c>
      <c r="C196" s="104" t="s">
        <v>200</v>
      </c>
      <c r="D196" s="9"/>
      <c r="E196" s="9">
        <f t="shared" si="39"/>
        <v>0</v>
      </c>
      <c r="F196" s="9">
        <v>5000</v>
      </c>
      <c r="G196" s="9">
        <f t="shared" si="38"/>
        <v>0</v>
      </c>
      <c r="H196" s="9">
        <f t="shared" si="37"/>
        <v>0</v>
      </c>
      <c r="I196" s="9"/>
      <c r="J196" s="44" t="s">
        <v>79</v>
      </c>
      <c r="K196" s="10">
        <v>6849</v>
      </c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7">
        <v>43942</v>
      </c>
      <c r="B197" s="8" t="s">
        <v>273</v>
      </c>
      <c r="C197" s="104" t="s">
        <v>200</v>
      </c>
      <c r="D197" s="9"/>
      <c r="E197" s="9">
        <f t="shared" si="39"/>
        <v>0</v>
      </c>
      <c r="F197" s="9">
        <v>21241.78</v>
      </c>
      <c r="G197" s="9">
        <f t="shared" si="38"/>
        <v>0</v>
      </c>
      <c r="H197" s="9">
        <f t="shared" si="37"/>
        <v>0</v>
      </c>
      <c r="I197" s="9"/>
      <c r="J197" s="44" t="s">
        <v>84</v>
      </c>
      <c r="K197" s="10">
        <v>6861</v>
      </c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35" customFormat="1" ht="14.1" customHeight="1" x14ac:dyDescent="0.2">
      <c r="A198" s="129">
        <v>43948</v>
      </c>
      <c r="B198" s="130" t="s">
        <v>274</v>
      </c>
      <c r="C198" s="104" t="s">
        <v>200</v>
      </c>
      <c r="D198" s="132"/>
      <c r="E198" s="132">
        <f t="shared" si="39"/>
        <v>0</v>
      </c>
      <c r="F198" s="132">
        <v>-6500</v>
      </c>
      <c r="G198" s="132">
        <f t="shared" si="38"/>
        <v>0</v>
      </c>
      <c r="H198" s="132">
        <f t="shared" si="37"/>
        <v>0</v>
      </c>
      <c r="I198" s="132"/>
      <c r="J198" s="133" t="s">
        <v>101</v>
      </c>
      <c r="K198" s="134">
        <v>6849</v>
      </c>
      <c r="L198" s="9"/>
      <c r="M198" s="132"/>
      <c r="N198" s="132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  <c r="AA198" s="132"/>
      <c r="AB198" s="132"/>
      <c r="AC198" s="132"/>
      <c r="AD198" s="132"/>
      <c r="AE198" s="132"/>
      <c r="AF198" s="132"/>
      <c r="AG198" s="132"/>
      <c r="AH198" s="132"/>
      <c r="AI198" s="132"/>
      <c r="AJ198" s="132"/>
      <c r="AK198" s="132"/>
      <c r="AL198" s="132"/>
      <c r="AM198" s="132"/>
      <c r="AN198" s="132"/>
      <c r="AO198" s="132"/>
      <c r="AP198" s="132"/>
      <c r="AQ198" s="132"/>
      <c r="AR198" s="132"/>
      <c r="AS198" s="132"/>
      <c r="AT198" s="132"/>
      <c r="AU198" s="132"/>
      <c r="AV198" s="132"/>
      <c r="AW198" s="132"/>
      <c r="AX198" s="132"/>
      <c r="AY198" s="132"/>
      <c r="AZ198" s="132"/>
      <c r="BA198" s="132"/>
      <c r="BB198" s="132"/>
      <c r="BC198" s="132"/>
      <c r="BD198" s="132"/>
      <c r="BE198" s="132"/>
      <c r="BF198" s="132"/>
      <c r="BG198" s="132"/>
      <c r="BH198" s="132"/>
      <c r="BI198" s="132"/>
      <c r="BJ198" s="132"/>
      <c r="BK198" s="132"/>
      <c r="BL198" s="132"/>
      <c r="BM198" s="132"/>
      <c r="BN198" s="132"/>
      <c r="BO198" s="132"/>
      <c r="BP198" s="132"/>
      <c r="BQ198" s="132"/>
      <c r="BR198" s="132"/>
      <c r="BS198" s="132"/>
      <c r="BT198" s="132"/>
      <c r="BU198" s="132"/>
      <c r="BV198" s="132"/>
      <c r="BW198" s="132"/>
      <c r="BX198" s="132"/>
      <c r="BY198" s="132"/>
      <c r="BZ198" s="132"/>
      <c r="CA198" s="132"/>
      <c r="CB198" s="132"/>
      <c r="CC198" s="132"/>
      <c r="CD198" s="132"/>
      <c r="CE198" s="132"/>
      <c r="CF198" s="132"/>
      <c r="CG198" s="132"/>
      <c r="CH198" s="132"/>
      <c r="CI198" s="132"/>
      <c r="CJ198" s="132"/>
      <c r="CK198" s="132"/>
      <c r="CL198" s="132"/>
      <c r="CM198" s="132"/>
      <c r="CN198" s="132"/>
      <c r="CO198" s="132"/>
      <c r="CP198" s="132"/>
      <c r="CQ198" s="132"/>
      <c r="CR198" s="132"/>
      <c r="CS198" s="132"/>
      <c r="CT198" s="132"/>
      <c r="CU198" s="132"/>
      <c r="CV198" s="132"/>
      <c r="CW198" s="132"/>
      <c r="CX198" s="132"/>
      <c r="CY198" s="132"/>
      <c r="CZ198" s="132"/>
      <c r="DA198" s="132"/>
      <c r="DB198" s="132"/>
      <c r="DC198" s="132"/>
      <c r="DD198" s="132"/>
      <c r="DE198" s="132"/>
      <c r="DF198" s="132"/>
      <c r="DG198" s="132"/>
      <c r="DH198" s="132"/>
      <c r="DI198" s="132"/>
      <c r="DJ198" s="132"/>
      <c r="DK198" s="132"/>
      <c r="DL198" s="132"/>
      <c r="DM198" s="132"/>
      <c r="DN198" s="132"/>
      <c r="DO198" s="132"/>
      <c r="DP198" s="132"/>
      <c r="DQ198" s="132"/>
      <c r="DR198" s="132"/>
      <c r="DS198" s="132"/>
      <c r="DT198" s="132"/>
      <c r="DU198" s="132"/>
      <c r="DV198" s="132"/>
      <c r="DW198" s="132"/>
      <c r="DX198" s="132"/>
      <c r="DY198" s="132"/>
      <c r="DZ198" s="132"/>
      <c r="EA198" s="132"/>
      <c r="EB198" s="132"/>
      <c r="EC198" s="132"/>
      <c r="ED198" s="132"/>
      <c r="EE198" s="132"/>
      <c r="EF198" s="132"/>
      <c r="EG198" s="132"/>
      <c r="EH198" s="132"/>
      <c r="EI198" s="132"/>
      <c r="EJ198" s="132"/>
      <c r="EK198" s="132"/>
      <c r="EL198" s="132"/>
      <c r="EM198" s="132"/>
      <c r="EN198" s="132"/>
      <c r="EO198" s="132"/>
      <c r="EP198" s="132"/>
      <c r="EQ198" s="132"/>
      <c r="ER198" s="132"/>
      <c r="ES198" s="132"/>
      <c r="ET198" s="132"/>
      <c r="EU198" s="132"/>
      <c r="EV198" s="132"/>
      <c r="EW198" s="132"/>
      <c r="EX198" s="132"/>
      <c r="EY198" s="132"/>
      <c r="EZ198" s="132"/>
      <c r="FA198" s="132"/>
      <c r="FB198" s="132"/>
      <c r="FC198" s="132"/>
      <c r="FD198" s="132"/>
      <c r="FE198" s="132"/>
      <c r="FF198" s="132"/>
      <c r="FG198" s="132"/>
      <c r="FH198" s="132"/>
      <c r="FI198" s="132"/>
      <c r="FJ198" s="132"/>
      <c r="FK198" s="132"/>
      <c r="FL198" s="132"/>
      <c r="FM198" s="132"/>
      <c r="FN198" s="132"/>
      <c r="FO198" s="132"/>
      <c r="FP198" s="132"/>
      <c r="FQ198" s="132"/>
      <c r="FR198" s="132"/>
      <c r="FS198" s="132"/>
      <c r="FT198" s="132"/>
      <c r="FU198" s="132"/>
      <c r="FV198" s="132"/>
      <c r="FW198" s="132"/>
      <c r="FX198" s="132"/>
      <c r="FY198" s="132"/>
      <c r="FZ198" s="132"/>
      <c r="GA198" s="132"/>
      <c r="GB198" s="132"/>
      <c r="GC198" s="132"/>
      <c r="GD198" s="132"/>
      <c r="GE198" s="132"/>
      <c r="GF198" s="132"/>
      <c r="GG198" s="132"/>
      <c r="GH198" s="132"/>
      <c r="GI198" s="132"/>
      <c r="GJ198" s="132"/>
      <c r="GK198" s="132"/>
      <c r="GL198" s="132"/>
      <c r="GM198" s="132"/>
      <c r="GN198" s="132"/>
      <c r="GO198" s="132"/>
      <c r="GP198" s="132"/>
      <c r="GQ198" s="132"/>
      <c r="GR198" s="132"/>
      <c r="GS198" s="132"/>
      <c r="GT198" s="132"/>
      <c r="GU198" s="132"/>
      <c r="GV198" s="132"/>
      <c r="GW198" s="132"/>
      <c r="GX198" s="132"/>
      <c r="GY198" s="132"/>
      <c r="GZ198" s="132"/>
      <c r="HA198" s="132"/>
      <c r="HB198" s="132"/>
      <c r="HC198" s="132"/>
      <c r="HD198" s="132"/>
      <c r="HE198" s="132"/>
      <c r="HF198" s="132"/>
      <c r="HG198" s="132"/>
      <c r="HH198" s="132"/>
      <c r="HI198" s="132"/>
      <c r="HJ198" s="132"/>
      <c r="HK198" s="132"/>
      <c r="HL198" s="132"/>
      <c r="HM198" s="132"/>
      <c r="HN198" s="132"/>
      <c r="HO198" s="132"/>
      <c r="HP198" s="132"/>
      <c r="HQ198" s="132"/>
      <c r="HR198" s="132"/>
      <c r="HS198" s="132"/>
      <c r="HT198" s="132"/>
      <c r="HU198" s="132"/>
      <c r="HV198" s="132"/>
      <c r="HW198" s="132"/>
      <c r="HX198" s="132"/>
      <c r="HY198" s="132"/>
      <c r="HZ198" s="132"/>
      <c r="IA198" s="132"/>
      <c r="IB198" s="132"/>
      <c r="IC198" s="132"/>
      <c r="ID198" s="132"/>
      <c r="IE198" s="132"/>
      <c r="IF198" s="132"/>
      <c r="IG198" s="132"/>
      <c r="IH198" s="132"/>
      <c r="II198" s="132"/>
      <c r="IJ198" s="132"/>
      <c r="IK198" s="132"/>
      <c r="IL198" s="132"/>
      <c r="IM198" s="132"/>
      <c r="IN198" s="132"/>
      <c r="IO198" s="132"/>
      <c r="IP198" s="132"/>
      <c r="IQ198" s="132"/>
      <c r="IR198" s="132"/>
      <c r="IS198" s="132"/>
      <c r="IT198" s="132"/>
    </row>
    <row r="199" spans="1:254" s="135" customFormat="1" ht="14.1" customHeight="1" x14ac:dyDescent="0.2">
      <c r="A199" s="129">
        <v>43941</v>
      </c>
      <c r="B199" s="130" t="s">
        <v>275</v>
      </c>
      <c r="C199" s="104" t="s">
        <v>200</v>
      </c>
      <c r="D199" s="132"/>
      <c r="E199" s="132">
        <f t="shared" si="39"/>
        <v>0</v>
      </c>
      <c r="F199" s="132">
        <v>-5000</v>
      </c>
      <c r="G199" s="132">
        <f t="shared" si="38"/>
        <v>0</v>
      </c>
      <c r="H199" s="132">
        <f t="shared" si="37"/>
        <v>0</v>
      </c>
      <c r="I199" s="132"/>
      <c r="J199" s="133" t="s">
        <v>101</v>
      </c>
      <c r="K199" s="134">
        <v>6849</v>
      </c>
      <c r="L199" s="9"/>
      <c r="M199" s="132"/>
      <c r="N199" s="132"/>
      <c r="O199" s="132"/>
      <c r="P199" s="132"/>
      <c r="Q199" s="132"/>
      <c r="R199" s="132"/>
      <c r="S199" s="132"/>
      <c r="T199" s="132"/>
      <c r="U199" s="132"/>
      <c r="V199" s="132"/>
      <c r="W199" s="132"/>
      <c r="X199" s="132"/>
      <c r="Y199" s="132"/>
      <c r="Z199" s="132"/>
      <c r="AA199" s="132"/>
      <c r="AB199" s="132"/>
      <c r="AC199" s="132"/>
      <c r="AD199" s="132"/>
      <c r="AE199" s="132"/>
      <c r="AF199" s="132"/>
      <c r="AG199" s="132"/>
      <c r="AH199" s="132"/>
      <c r="AI199" s="132"/>
      <c r="AJ199" s="132"/>
      <c r="AK199" s="132"/>
      <c r="AL199" s="132"/>
      <c r="AM199" s="132"/>
      <c r="AN199" s="132"/>
      <c r="AO199" s="132"/>
      <c r="AP199" s="132"/>
      <c r="AQ199" s="132"/>
      <c r="AR199" s="132"/>
      <c r="AS199" s="132"/>
      <c r="AT199" s="132"/>
      <c r="AU199" s="132"/>
      <c r="AV199" s="132"/>
      <c r="AW199" s="132"/>
      <c r="AX199" s="132"/>
      <c r="AY199" s="132"/>
      <c r="AZ199" s="132"/>
      <c r="BA199" s="132"/>
      <c r="BB199" s="132"/>
      <c r="BC199" s="132"/>
      <c r="BD199" s="132"/>
      <c r="BE199" s="132"/>
      <c r="BF199" s="132"/>
      <c r="BG199" s="132"/>
      <c r="BH199" s="132"/>
      <c r="BI199" s="132"/>
      <c r="BJ199" s="132"/>
      <c r="BK199" s="132"/>
      <c r="BL199" s="132"/>
      <c r="BM199" s="132"/>
      <c r="BN199" s="132"/>
      <c r="BO199" s="132"/>
      <c r="BP199" s="132"/>
      <c r="BQ199" s="132"/>
      <c r="BR199" s="132"/>
      <c r="BS199" s="132"/>
      <c r="BT199" s="132"/>
      <c r="BU199" s="132"/>
      <c r="BV199" s="132"/>
      <c r="BW199" s="132"/>
      <c r="BX199" s="132"/>
      <c r="BY199" s="132"/>
      <c r="BZ199" s="132"/>
      <c r="CA199" s="132"/>
      <c r="CB199" s="132"/>
      <c r="CC199" s="132"/>
      <c r="CD199" s="132"/>
      <c r="CE199" s="132"/>
      <c r="CF199" s="132"/>
      <c r="CG199" s="132"/>
      <c r="CH199" s="132"/>
      <c r="CI199" s="132"/>
      <c r="CJ199" s="132"/>
      <c r="CK199" s="132"/>
      <c r="CL199" s="132"/>
      <c r="CM199" s="132"/>
      <c r="CN199" s="132"/>
      <c r="CO199" s="132"/>
      <c r="CP199" s="132"/>
      <c r="CQ199" s="132"/>
      <c r="CR199" s="132"/>
      <c r="CS199" s="132"/>
      <c r="CT199" s="132"/>
      <c r="CU199" s="132"/>
      <c r="CV199" s="132"/>
      <c r="CW199" s="132"/>
      <c r="CX199" s="132"/>
      <c r="CY199" s="132"/>
      <c r="CZ199" s="132"/>
      <c r="DA199" s="132"/>
      <c r="DB199" s="132"/>
      <c r="DC199" s="132"/>
      <c r="DD199" s="132"/>
      <c r="DE199" s="132"/>
      <c r="DF199" s="132"/>
      <c r="DG199" s="132"/>
      <c r="DH199" s="132"/>
      <c r="DI199" s="132"/>
      <c r="DJ199" s="132"/>
      <c r="DK199" s="132"/>
      <c r="DL199" s="132"/>
      <c r="DM199" s="132"/>
      <c r="DN199" s="132"/>
      <c r="DO199" s="132"/>
      <c r="DP199" s="132"/>
      <c r="DQ199" s="132"/>
      <c r="DR199" s="132"/>
      <c r="DS199" s="132"/>
      <c r="DT199" s="132"/>
      <c r="DU199" s="132"/>
      <c r="DV199" s="132"/>
      <c r="DW199" s="132"/>
      <c r="DX199" s="132"/>
      <c r="DY199" s="132"/>
      <c r="DZ199" s="132"/>
      <c r="EA199" s="132"/>
      <c r="EB199" s="132"/>
      <c r="EC199" s="132"/>
      <c r="ED199" s="132"/>
      <c r="EE199" s="132"/>
      <c r="EF199" s="132"/>
      <c r="EG199" s="132"/>
      <c r="EH199" s="132"/>
      <c r="EI199" s="132"/>
      <c r="EJ199" s="132"/>
      <c r="EK199" s="132"/>
      <c r="EL199" s="132"/>
      <c r="EM199" s="132"/>
      <c r="EN199" s="132"/>
      <c r="EO199" s="132"/>
      <c r="EP199" s="132"/>
      <c r="EQ199" s="132"/>
      <c r="ER199" s="132"/>
      <c r="ES199" s="132"/>
      <c r="ET199" s="132"/>
      <c r="EU199" s="132"/>
      <c r="EV199" s="132"/>
      <c r="EW199" s="132"/>
      <c r="EX199" s="132"/>
      <c r="EY199" s="132"/>
      <c r="EZ199" s="132"/>
      <c r="FA199" s="132"/>
      <c r="FB199" s="132"/>
      <c r="FC199" s="132"/>
      <c r="FD199" s="132"/>
      <c r="FE199" s="132"/>
      <c r="FF199" s="132"/>
      <c r="FG199" s="132"/>
      <c r="FH199" s="132"/>
      <c r="FI199" s="132"/>
      <c r="FJ199" s="132"/>
      <c r="FK199" s="132"/>
      <c r="FL199" s="132"/>
      <c r="FM199" s="132"/>
      <c r="FN199" s="132"/>
      <c r="FO199" s="132"/>
      <c r="FP199" s="132"/>
      <c r="FQ199" s="132"/>
      <c r="FR199" s="132"/>
      <c r="FS199" s="132"/>
      <c r="FT199" s="132"/>
      <c r="FU199" s="132"/>
      <c r="FV199" s="132"/>
      <c r="FW199" s="132"/>
      <c r="FX199" s="132"/>
      <c r="FY199" s="132"/>
      <c r="FZ199" s="132"/>
      <c r="GA199" s="132"/>
      <c r="GB199" s="132"/>
      <c r="GC199" s="132"/>
      <c r="GD199" s="132"/>
      <c r="GE199" s="132"/>
      <c r="GF199" s="132"/>
      <c r="GG199" s="132"/>
      <c r="GH199" s="132"/>
      <c r="GI199" s="132"/>
      <c r="GJ199" s="132"/>
      <c r="GK199" s="132"/>
      <c r="GL199" s="132"/>
      <c r="GM199" s="132"/>
      <c r="GN199" s="132"/>
      <c r="GO199" s="132"/>
      <c r="GP199" s="132"/>
      <c r="GQ199" s="132"/>
      <c r="GR199" s="132"/>
      <c r="GS199" s="132"/>
      <c r="GT199" s="132"/>
      <c r="GU199" s="132"/>
      <c r="GV199" s="132"/>
      <c r="GW199" s="132"/>
      <c r="GX199" s="132"/>
      <c r="GY199" s="132"/>
      <c r="GZ199" s="132"/>
      <c r="HA199" s="132"/>
      <c r="HB199" s="132"/>
      <c r="HC199" s="132"/>
      <c r="HD199" s="132"/>
      <c r="HE199" s="132"/>
      <c r="HF199" s="132"/>
      <c r="HG199" s="132"/>
      <c r="HH199" s="132"/>
      <c r="HI199" s="132"/>
      <c r="HJ199" s="132"/>
      <c r="HK199" s="132"/>
      <c r="HL199" s="132"/>
      <c r="HM199" s="132"/>
      <c r="HN199" s="132"/>
      <c r="HO199" s="132"/>
      <c r="HP199" s="132"/>
      <c r="HQ199" s="132"/>
      <c r="HR199" s="132"/>
      <c r="HS199" s="132"/>
      <c r="HT199" s="132"/>
      <c r="HU199" s="132"/>
      <c r="HV199" s="132"/>
      <c r="HW199" s="132"/>
      <c r="HX199" s="132"/>
      <c r="HY199" s="132"/>
      <c r="HZ199" s="132"/>
      <c r="IA199" s="132"/>
      <c r="IB199" s="132"/>
      <c r="IC199" s="132"/>
      <c r="ID199" s="132"/>
      <c r="IE199" s="132"/>
      <c r="IF199" s="132"/>
      <c r="IG199" s="132"/>
      <c r="IH199" s="132"/>
      <c r="II199" s="132"/>
      <c r="IJ199" s="132"/>
      <c r="IK199" s="132"/>
      <c r="IL199" s="132"/>
      <c r="IM199" s="132"/>
      <c r="IN199" s="132"/>
      <c r="IO199" s="132"/>
      <c r="IP199" s="132"/>
      <c r="IQ199" s="132"/>
      <c r="IR199" s="132"/>
      <c r="IS199" s="132"/>
      <c r="IT199" s="132"/>
    </row>
    <row r="200" spans="1:254" s="11" customFormat="1" ht="14.1" customHeight="1" x14ac:dyDescent="0.2">
      <c r="A200" s="7">
        <v>43956</v>
      </c>
      <c r="B200" s="8" t="s">
        <v>276</v>
      </c>
      <c r="C200" s="104" t="s">
        <v>200</v>
      </c>
      <c r="D200" s="9"/>
      <c r="E200" s="9">
        <f t="shared" si="39"/>
        <v>0</v>
      </c>
      <c r="F200" s="9">
        <v>21241.78</v>
      </c>
      <c r="G200" s="9">
        <f t="shared" ref="G200:G213" si="40">IF(J200&gt;0,0,F200)</f>
        <v>0</v>
      </c>
      <c r="H200" s="9">
        <f t="shared" ref="H200:H213" si="41">+D200</f>
        <v>0</v>
      </c>
      <c r="I200" s="9"/>
      <c r="J200" s="44" t="s">
        <v>84</v>
      </c>
      <c r="K200" s="10">
        <v>6861</v>
      </c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7">
        <v>43945</v>
      </c>
      <c r="B201" s="109" t="s">
        <v>277</v>
      </c>
      <c r="C201" s="104" t="s">
        <v>80</v>
      </c>
      <c r="D201" s="9"/>
      <c r="E201" s="9">
        <f t="shared" si="39"/>
        <v>0</v>
      </c>
      <c r="F201" s="9"/>
      <c r="G201" s="9">
        <f t="shared" si="40"/>
        <v>0</v>
      </c>
      <c r="H201" s="9">
        <f t="shared" si="41"/>
        <v>0</v>
      </c>
      <c r="I201" s="9">
        <v>184727.69</v>
      </c>
      <c r="J201" s="44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7">
        <v>43964</v>
      </c>
      <c r="B202" s="109" t="s">
        <v>279</v>
      </c>
      <c r="C202" s="104" t="s">
        <v>80</v>
      </c>
      <c r="D202" s="9"/>
      <c r="E202" s="9">
        <f t="shared" ref="E202:E217" si="42">+D202</f>
        <v>0</v>
      </c>
      <c r="F202" s="9"/>
      <c r="G202" s="9">
        <v>0</v>
      </c>
      <c r="H202" s="9">
        <f t="shared" si="41"/>
        <v>0</v>
      </c>
      <c r="I202" s="9"/>
      <c r="J202" s="44"/>
      <c r="K202" s="10"/>
      <c r="L202" s="9">
        <v>4231.68</v>
      </c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7">
        <v>43962</v>
      </c>
      <c r="B203" s="8" t="s">
        <v>278</v>
      </c>
      <c r="C203" s="104" t="s">
        <v>200</v>
      </c>
      <c r="D203" s="9"/>
      <c r="E203" s="9">
        <f t="shared" si="42"/>
        <v>0</v>
      </c>
      <c r="F203" s="9">
        <f>110</f>
        <v>110</v>
      </c>
      <c r="G203" s="9">
        <f t="shared" si="40"/>
        <v>110</v>
      </c>
      <c r="H203" s="9">
        <f t="shared" si="41"/>
        <v>0</v>
      </c>
      <c r="I203" s="9"/>
      <c r="J203" s="44"/>
      <c r="K203" s="10">
        <v>6861</v>
      </c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7">
        <v>43973</v>
      </c>
      <c r="B204" s="8" t="s">
        <v>280</v>
      </c>
      <c r="C204" s="104" t="s">
        <v>200</v>
      </c>
      <c r="D204" s="9"/>
      <c r="E204" s="9">
        <f t="shared" si="42"/>
        <v>0</v>
      </c>
      <c r="F204" s="9">
        <v>2472.79</v>
      </c>
      <c r="G204" s="9">
        <f t="shared" si="40"/>
        <v>0</v>
      </c>
      <c r="H204" s="9">
        <f t="shared" si="41"/>
        <v>0</v>
      </c>
      <c r="I204" s="9"/>
      <c r="J204" s="44" t="s">
        <v>108</v>
      </c>
      <c r="K204" s="10">
        <v>6873</v>
      </c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7">
        <v>43979</v>
      </c>
      <c r="B205" s="8" t="s">
        <v>281</v>
      </c>
      <c r="C205" s="104" t="s">
        <v>200</v>
      </c>
      <c r="D205" s="9"/>
      <c r="E205" s="9">
        <f t="shared" si="42"/>
        <v>0</v>
      </c>
      <c r="F205" s="9">
        <v>77413.97</v>
      </c>
      <c r="G205" s="9">
        <f t="shared" si="40"/>
        <v>0</v>
      </c>
      <c r="H205" s="9">
        <f t="shared" si="41"/>
        <v>0</v>
      </c>
      <c r="I205" s="9"/>
      <c r="J205" s="44" t="s">
        <v>70</v>
      </c>
      <c r="K205" s="10">
        <v>6812</v>
      </c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7">
        <v>43979</v>
      </c>
      <c r="B206" s="8" t="s">
        <v>282</v>
      </c>
      <c r="C206" s="104" t="s">
        <v>200</v>
      </c>
      <c r="D206" s="9"/>
      <c r="E206" s="9">
        <f t="shared" si="42"/>
        <v>0</v>
      </c>
      <c r="F206" s="9">
        <v>1470865.43</v>
      </c>
      <c r="G206" s="9">
        <f t="shared" si="40"/>
        <v>0</v>
      </c>
      <c r="H206" s="9">
        <f t="shared" si="41"/>
        <v>0</v>
      </c>
      <c r="I206" s="9"/>
      <c r="J206" s="44" t="s">
        <v>70</v>
      </c>
      <c r="K206" s="10">
        <v>6812</v>
      </c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7">
        <v>43979</v>
      </c>
      <c r="B207" s="8" t="s">
        <v>283</v>
      </c>
      <c r="C207" s="104" t="s">
        <v>200</v>
      </c>
      <c r="D207" s="9"/>
      <c r="E207" s="9">
        <f t="shared" si="42"/>
        <v>0</v>
      </c>
      <c r="F207" s="9">
        <v>63980.72</v>
      </c>
      <c r="G207" s="9">
        <f t="shared" si="40"/>
        <v>0</v>
      </c>
      <c r="H207" s="9">
        <f t="shared" si="41"/>
        <v>0</v>
      </c>
      <c r="I207" s="9"/>
      <c r="J207" s="44" t="s">
        <v>70</v>
      </c>
      <c r="K207" s="10">
        <v>6813</v>
      </c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7">
        <v>43979</v>
      </c>
      <c r="B208" s="8" t="s">
        <v>284</v>
      </c>
      <c r="C208" s="104" t="s">
        <v>200</v>
      </c>
      <c r="D208" s="9"/>
      <c r="E208" s="9">
        <f t="shared" si="42"/>
        <v>0</v>
      </c>
      <c r="F208" s="9">
        <v>1215633.1599999999</v>
      </c>
      <c r="G208" s="9">
        <f t="shared" si="40"/>
        <v>0</v>
      </c>
      <c r="H208" s="9">
        <f t="shared" si="41"/>
        <v>0</v>
      </c>
      <c r="I208" s="9"/>
      <c r="J208" s="44" t="s">
        <v>70</v>
      </c>
      <c r="K208" s="10">
        <v>6812</v>
      </c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7">
        <v>43973</v>
      </c>
      <c r="B209" s="109" t="s">
        <v>285</v>
      </c>
      <c r="C209" s="104" t="s">
        <v>80</v>
      </c>
      <c r="D209" s="9"/>
      <c r="E209" s="9">
        <f t="shared" si="42"/>
        <v>0</v>
      </c>
      <c r="F209" s="9"/>
      <c r="G209" s="9">
        <f t="shared" si="40"/>
        <v>0</v>
      </c>
      <c r="H209" s="9">
        <f t="shared" si="41"/>
        <v>0</v>
      </c>
      <c r="I209" s="9">
        <v>195182.85</v>
      </c>
      <c r="J209" s="44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7">
        <v>43994</v>
      </c>
      <c r="B210" s="109" t="s">
        <v>286</v>
      </c>
      <c r="C210" s="104" t="s">
        <v>80</v>
      </c>
      <c r="D210" s="9"/>
      <c r="E210" s="9">
        <f t="shared" si="42"/>
        <v>0</v>
      </c>
      <c r="F210" s="9"/>
      <c r="G210" s="9">
        <v>0</v>
      </c>
      <c r="H210" s="9">
        <f t="shared" si="41"/>
        <v>0</v>
      </c>
      <c r="I210" s="9"/>
      <c r="J210" s="44"/>
      <c r="K210" s="10"/>
      <c r="L210" s="9">
        <v>326593.39</v>
      </c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7">
        <v>43994</v>
      </c>
      <c r="B211" s="8" t="s">
        <v>287</v>
      </c>
      <c r="C211" s="104" t="s">
        <v>59</v>
      </c>
      <c r="D211" s="9"/>
      <c r="E211" s="9">
        <f t="shared" si="42"/>
        <v>0</v>
      </c>
      <c r="F211" s="9">
        <v>5000</v>
      </c>
      <c r="G211" s="9">
        <v>0</v>
      </c>
      <c r="H211" s="9">
        <f t="shared" si="41"/>
        <v>0</v>
      </c>
      <c r="I211" s="9"/>
      <c r="J211" s="44" t="s">
        <v>79</v>
      </c>
      <c r="K211" s="10">
        <v>6849</v>
      </c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7">
        <v>43998</v>
      </c>
      <c r="B212" s="8" t="s">
        <v>288</v>
      </c>
      <c r="C212" s="104" t="s">
        <v>59</v>
      </c>
      <c r="D212" s="9"/>
      <c r="E212" s="9">
        <f t="shared" si="42"/>
        <v>0</v>
      </c>
      <c r="F212" s="9">
        <v>42712</v>
      </c>
      <c r="G212" s="9">
        <f t="shared" si="40"/>
        <v>0</v>
      </c>
      <c r="H212" s="9">
        <f t="shared" si="41"/>
        <v>0</v>
      </c>
      <c r="I212" s="9"/>
      <c r="J212" s="44" t="s">
        <v>70</v>
      </c>
      <c r="K212" s="10">
        <v>6812</v>
      </c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7">
        <v>43998</v>
      </c>
      <c r="B213" s="8" t="s">
        <v>289</v>
      </c>
      <c r="C213" s="104" t="s">
        <v>59</v>
      </c>
      <c r="D213" s="9"/>
      <c r="E213" s="9">
        <f t="shared" si="42"/>
        <v>0</v>
      </c>
      <c r="F213" s="9">
        <v>811527.73</v>
      </c>
      <c r="G213" s="9">
        <f t="shared" si="40"/>
        <v>0</v>
      </c>
      <c r="H213" s="9">
        <f t="shared" si="41"/>
        <v>0</v>
      </c>
      <c r="I213" s="9"/>
      <c r="J213" s="44" t="s">
        <v>70</v>
      </c>
      <c r="K213" s="10">
        <v>6812</v>
      </c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7">
        <v>43998</v>
      </c>
      <c r="B214" s="109" t="s">
        <v>290</v>
      </c>
      <c r="C214" s="104" t="s">
        <v>80</v>
      </c>
      <c r="D214" s="9"/>
      <c r="E214" s="9">
        <f t="shared" si="42"/>
        <v>0</v>
      </c>
      <c r="F214" s="9"/>
      <c r="G214" s="9">
        <f t="shared" ref="G214:G227" si="43">IF(J214&gt;0,0,F214)</f>
        <v>0</v>
      </c>
      <c r="H214" s="9">
        <f t="shared" ref="H214:H228" si="44">+D214</f>
        <v>0</v>
      </c>
      <c r="I214" s="9">
        <v>4231.68</v>
      </c>
      <c r="J214" s="44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7">
        <v>44000</v>
      </c>
      <c r="B215" s="8" t="s">
        <v>291</v>
      </c>
      <c r="C215" s="104" t="s">
        <v>59</v>
      </c>
      <c r="D215" s="9"/>
      <c r="E215" s="9">
        <f t="shared" si="42"/>
        <v>0</v>
      </c>
      <c r="F215" s="9">
        <v>1867.54</v>
      </c>
      <c r="G215" s="9">
        <f t="shared" si="43"/>
        <v>0</v>
      </c>
      <c r="H215" s="9">
        <f t="shared" si="44"/>
        <v>0</v>
      </c>
      <c r="I215" s="9"/>
      <c r="J215" s="44" t="s">
        <v>108</v>
      </c>
      <c r="K215" s="10">
        <v>6873</v>
      </c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7">
        <v>44005</v>
      </c>
      <c r="B216" s="8" t="s">
        <v>292</v>
      </c>
      <c r="C216" s="104" t="s">
        <v>59</v>
      </c>
      <c r="D216" s="9"/>
      <c r="E216" s="9">
        <f t="shared" si="42"/>
        <v>0</v>
      </c>
      <c r="F216" s="9">
        <v>1906.41</v>
      </c>
      <c r="G216" s="9">
        <f t="shared" si="43"/>
        <v>0</v>
      </c>
      <c r="H216" s="9">
        <f t="shared" si="44"/>
        <v>0</v>
      </c>
      <c r="I216" s="9"/>
      <c r="J216" s="44" t="s">
        <v>84</v>
      </c>
      <c r="K216" s="10">
        <v>6861</v>
      </c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7">
        <v>44005</v>
      </c>
      <c r="B217" s="8" t="s">
        <v>293</v>
      </c>
      <c r="C217" s="104" t="s">
        <v>59</v>
      </c>
      <c r="D217" s="9"/>
      <c r="E217" s="9">
        <f t="shared" si="42"/>
        <v>0</v>
      </c>
      <c r="F217" s="9">
        <v>29252.19</v>
      </c>
      <c r="G217" s="9">
        <f t="shared" si="43"/>
        <v>0</v>
      </c>
      <c r="H217" s="9">
        <f t="shared" si="44"/>
        <v>0</v>
      </c>
      <c r="I217" s="9"/>
      <c r="J217" s="44" t="s">
        <v>86</v>
      </c>
      <c r="K217" s="10">
        <v>6812</v>
      </c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7">
        <v>44006</v>
      </c>
      <c r="B218" s="8" t="s">
        <v>294</v>
      </c>
      <c r="C218" s="104" t="s">
        <v>59</v>
      </c>
      <c r="D218" s="9"/>
      <c r="E218" s="9">
        <f t="shared" ref="E218:E232" si="45">+D218</f>
        <v>0</v>
      </c>
      <c r="F218" s="9">
        <v>1541.68</v>
      </c>
      <c r="G218" s="9">
        <f t="shared" si="43"/>
        <v>1541.68</v>
      </c>
      <c r="H218" s="9">
        <f t="shared" si="44"/>
        <v>0</v>
      </c>
      <c r="I218" s="9"/>
      <c r="J218" s="44"/>
      <c r="K218" s="10">
        <v>6819</v>
      </c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7">
        <f>+A218</f>
        <v>44006</v>
      </c>
      <c r="B219" s="8" t="s">
        <v>296</v>
      </c>
      <c r="C219" s="104" t="s">
        <v>315</v>
      </c>
      <c r="D219" s="9">
        <v>-48798.92</v>
      </c>
      <c r="E219" s="9">
        <f t="shared" si="45"/>
        <v>-48798.92</v>
      </c>
      <c r="F219" s="9"/>
      <c r="G219" s="9">
        <f t="shared" si="43"/>
        <v>0</v>
      </c>
      <c r="H219" s="9">
        <f t="shared" si="44"/>
        <v>-48798.92</v>
      </c>
      <c r="I219" s="9"/>
      <c r="J219" s="44"/>
      <c r="K219" s="10">
        <v>4664</v>
      </c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7">
        <f>+A219</f>
        <v>44006</v>
      </c>
      <c r="B220" s="137" t="s">
        <v>298</v>
      </c>
      <c r="C220" s="104" t="s">
        <v>315</v>
      </c>
      <c r="D220" s="9">
        <v>126356.4</v>
      </c>
      <c r="E220" s="9">
        <f t="shared" si="45"/>
        <v>126356.4</v>
      </c>
      <c r="F220" s="9"/>
      <c r="G220" s="9">
        <f t="shared" si="43"/>
        <v>0</v>
      </c>
      <c r="H220" s="9">
        <f t="shared" si="44"/>
        <v>126356.4</v>
      </c>
      <c r="I220" s="9"/>
      <c r="J220" s="44"/>
      <c r="K220" s="10">
        <v>4761</v>
      </c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7">
        <v>44007</v>
      </c>
      <c r="B221" s="8" t="s">
        <v>300</v>
      </c>
      <c r="C221" s="104" t="s">
        <v>119</v>
      </c>
      <c r="D221" s="9"/>
      <c r="E221" s="9">
        <f t="shared" si="45"/>
        <v>0</v>
      </c>
      <c r="F221" s="9"/>
      <c r="G221" s="9">
        <v>52409</v>
      </c>
      <c r="H221" s="9">
        <f t="shared" si="44"/>
        <v>0</v>
      </c>
      <c r="I221" s="9"/>
      <c r="J221" s="44" t="s">
        <v>70</v>
      </c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7">
        <v>44011</v>
      </c>
      <c r="B222" s="8" t="s">
        <v>301</v>
      </c>
      <c r="C222" s="104" t="s">
        <v>315</v>
      </c>
      <c r="D222" s="9"/>
      <c r="E222" s="9">
        <f t="shared" si="45"/>
        <v>0</v>
      </c>
      <c r="F222" s="9">
        <v>2500</v>
      </c>
      <c r="G222" s="9">
        <f t="shared" si="43"/>
        <v>0</v>
      </c>
      <c r="H222" s="9">
        <f t="shared" si="44"/>
        <v>0</v>
      </c>
      <c r="I222" s="9"/>
      <c r="J222" s="44" t="s">
        <v>79</v>
      </c>
      <c r="K222" s="10">
        <v>6849</v>
      </c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7" t="s">
        <v>302</v>
      </c>
      <c r="B223" s="8" t="s">
        <v>303</v>
      </c>
      <c r="C223" s="104" t="s">
        <v>119</v>
      </c>
      <c r="D223" s="9"/>
      <c r="E223" s="9">
        <f t="shared" si="45"/>
        <v>0</v>
      </c>
      <c r="F223" s="9"/>
      <c r="G223" s="9">
        <v>6520</v>
      </c>
      <c r="H223" s="9">
        <f t="shared" si="44"/>
        <v>0</v>
      </c>
      <c r="I223" s="9"/>
      <c r="J223" s="44" t="s">
        <v>84</v>
      </c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7" t="s">
        <v>302</v>
      </c>
      <c r="B224" s="174" t="s">
        <v>304</v>
      </c>
      <c r="C224" s="104" t="s">
        <v>80</v>
      </c>
      <c r="D224" s="9"/>
      <c r="E224" s="9">
        <f t="shared" si="45"/>
        <v>0</v>
      </c>
      <c r="F224" s="9"/>
      <c r="G224" s="9">
        <v>0</v>
      </c>
      <c r="H224" s="9">
        <f t="shared" si="44"/>
        <v>0</v>
      </c>
      <c r="I224" s="9"/>
      <c r="J224" s="44"/>
      <c r="K224" s="10"/>
      <c r="L224" s="9">
        <v>103420.11</v>
      </c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7" t="s">
        <v>306</v>
      </c>
      <c r="B225" s="8" t="s">
        <v>307</v>
      </c>
      <c r="C225" s="104" t="s">
        <v>315</v>
      </c>
      <c r="D225" s="9">
        <v>85984.62</v>
      </c>
      <c r="E225" s="9">
        <f t="shared" si="45"/>
        <v>85984.62</v>
      </c>
      <c r="F225" s="9"/>
      <c r="G225" s="9">
        <f t="shared" si="43"/>
        <v>0</v>
      </c>
      <c r="H225" s="9">
        <f t="shared" si="44"/>
        <v>85984.62</v>
      </c>
      <c r="I225" s="9"/>
      <c r="J225" s="44"/>
      <c r="K225" s="10">
        <v>4664</v>
      </c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7">
        <v>44012</v>
      </c>
      <c r="B226" s="109" t="s">
        <v>308</v>
      </c>
      <c r="C226" s="104" t="s">
        <v>80</v>
      </c>
      <c r="D226" s="9"/>
      <c r="E226" s="9">
        <f t="shared" si="45"/>
        <v>0</v>
      </c>
      <c r="F226" s="9"/>
      <c r="G226" s="9">
        <f t="shared" si="43"/>
        <v>0</v>
      </c>
      <c r="H226" s="9">
        <f t="shared" si="44"/>
        <v>0</v>
      </c>
      <c r="I226" s="9">
        <v>326593.39</v>
      </c>
      <c r="J226" s="44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7" t="s">
        <v>302</v>
      </c>
      <c r="B227" s="8" t="s">
        <v>309</v>
      </c>
      <c r="C227" s="104" t="s">
        <v>315</v>
      </c>
      <c r="D227" s="9"/>
      <c r="E227" s="9">
        <f t="shared" si="45"/>
        <v>0</v>
      </c>
      <c r="F227" s="9">
        <v>1573.02</v>
      </c>
      <c r="G227" s="9">
        <f t="shared" si="43"/>
        <v>0</v>
      </c>
      <c r="H227" s="9">
        <f t="shared" si="44"/>
        <v>0</v>
      </c>
      <c r="I227" s="9"/>
      <c r="J227" s="44" t="s">
        <v>108</v>
      </c>
      <c r="K227" s="10">
        <v>6873</v>
      </c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7" t="s">
        <v>302</v>
      </c>
      <c r="B228" s="8" t="s">
        <v>310</v>
      </c>
      <c r="C228" s="104" t="s">
        <v>119</v>
      </c>
      <c r="D228" s="9"/>
      <c r="E228" s="9">
        <f t="shared" si="45"/>
        <v>0</v>
      </c>
      <c r="F228" s="9"/>
      <c r="G228" s="9">
        <v>97200</v>
      </c>
      <c r="H228" s="9">
        <f t="shared" si="44"/>
        <v>0</v>
      </c>
      <c r="I228" s="9"/>
      <c r="J228" s="44" t="s">
        <v>70</v>
      </c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7" t="s">
        <v>302</v>
      </c>
      <c r="B229" s="8" t="s">
        <v>311</v>
      </c>
      <c r="C229" s="104" t="s">
        <v>315</v>
      </c>
      <c r="D229" s="9"/>
      <c r="E229" s="9">
        <f t="shared" si="45"/>
        <v>0</v>
      </c>
      <c r="F229" s="9">
        <v>59502.12</v>
      </c>
      <c r="G229" s="9">
        <f t="shared" ref="G229:G241" si="46">IF(J229&gt;0,0,F229)</f>
        <v>0</v>
      </c>
      <c r="H229" s="9">
        <f t="shared" ref="H229:H241" si="47">+D229</f>
        <v>0</v>
      </c>
      <c r="I229" s="9"/>
      <c r="J229" s="44" t="s">
        <v>86</v>
      </c>
      <c r="K229" s="10">
        <v>6812</v>
      </c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7" t="s">
        <v>302</v>
      </c>
      <c r="B230" s="8" t="s">
        <v>312</v>
      </c>
      <c r="C230" s="104" t="s">
        <v>315</v>
      </c>
      <c r="D230" s="9"/>
      <c r="E230" s="9">
        <f t="shared" si="45"/>
        <v>0</v>
      </c>
      <c r="F230" s="9">
        <v>41445.199999999997</v>
      </c>
      <c r="G230" s="9">
        <f t="shared" si="46"/>
        <v>0</v>
      </c>
      <c r="H230" s="9">
        <f t="shared" si="47"/>
        <v>0</v>
      </c>
      <c r="I230" s="9"/>
      <c r="J230" s="44" t="s">
        <v>70</v>
      </c>
      <c r="K230" s="10">
        <v>6812</v>
      </c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7" t="s">
        <v>302</v>
      </c>
      <c r="B231" s="8" t="s">
        <v>313</v>
      </c>
      <c r="C231" s="104" t="s">
        <v>315</v>
      </c>
      <c r="D231" s="9"/>
      <c r="E231" s="9">
        <f t="shared" si="45"/>
        <v>0</v>
      </c>
      <c r="F231" s="9">
        <v>787458.54</v>
      </c>
      <c r="G231" s="9">
        <f t="shared" si="46"/>
        <v>0</v>
      </c>
      <c r="H231" s="9">
        <f t="shared" si="47"/>
        <v>0</v>
      </c>
      <c r="I231" s="9"/>
      <c r="J231" s="44" t="s">
        <v>70</v>
      </c>
      <c r="K231" s="10">
        <v>6812</v>
      </c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7" t="s">
        <v>302</v>
      </c>
      <c r="B232" s="109" t="s">
        <v>408</v>
      </c>
      <c r="C232" s="104" t="s">
        <v>80</v>
      </c>
      <c r="D232" s="9"/>
      <c r="E232" s="9">
        <f t="shared" si="45"/>
        <v>0</v>
      </c>
      <c r="F232" s="9"/>
      <c r="G232" s="9">
        <f t="shared" si="46"/>
        <v>0</v>
      </c>
      <c r="H232" s="9">
        <f t="shared" si="47"/>
        <v>0</v>
      </c>
      <c r="I232" s="9"/>
      <c r="J232" s="44"/>
      <c r="K232" s="10"/>
      <c r="L232" s="9">
        <v>102689.86</v>
      </c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7">
        <v>43910</v>
      </c>
      <c r="B233" s="8" t="s">
        <v>420</v>
      </c>
      <c r="C233" s="47" t="s">
        <v>49</v>
      </c>
      <c r="D233" s="9"/>
      <c r="E233" s="9">
        <f t="shared" ref="E233:E296" si="48">+D233</f>
        <v>0</v>
      </c>
      <c r="F233" s="9"/>
      <c r="G233" s="9">
        <v>7393.4</v>
      </c>
      <c r="H233" s="9">
        <f t="shared" si="47"/>
        <v>0</v>
      </c>
      <c r="I233" s="9"/>
      <c r="J233" s="44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7"/>
      <c r="B234" s="8"/>
      <c r="C234" s="47" t="s">
        <v>49</v>
      </c>
      <c r="D234" s="9"/>
      <c r="E234" s="9">
        <f t="shared" si="48"/>
        <v>0</v>
      </c>
      <c r="F234" s="9"/>
      <c r="G234" s="9">
        <f t="shared" si="46"/>
        <v>0</v>
      </c>
      <c r="H234" s="9">
        <f t="shared" si="47"/>
        <v>0</v>
      </c>
      <c r="I234" s="9"/>
      <c r="J234" s="44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155" t="s">
        <v>409</v>
      </c>
      <c r="B235" s="8"/>
      <c r="C235" s="47" t="s">
        <v>49</v>
      </c>
      <c r="D235" s="9"/>
      <c r="E235" s="9">
        <f t="shared" si="48"/>
        <v>0</v>
      </c>
      <c r="F235" s="9"/>
      <c r="G235" s="9">
        <f t="shared" si="46"/>
        <v>0</v>
      </c>
      <c r="H235" s="9">
        <f t="shared" si="47"/>
        <v>0</v>
      </c>
      <c r="I235" s="9"/>
      <c r="J235" s="44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7">
        <v>44047</v>
      </c>
      <c r="B236" s="8" t="s">
        <v>410</v>
      </c>
      <c r="C236" s="104" t="s">
        <v>200</v>
      </c>
      <c r="D236" s="9"/>
      <c r="E236" s="9">
        <f t="shared" si="48"/>
        <v>0</v>
      </c>
      <c r="F236" s="9">
        <v>8606</v>
      </c>
      <c r="G236" s="9">
        <f t="shared" si="46"/>
        <v>8606</v>
      </c>
      <c r="H236" s="9">
        <f t="shared" si="47"/>
        <v>0</v>
      </c>
      <c r="I236" s="9"/>
      <c r="J236" s="44"/>
      <c r="K236" s="10">
        <v>6819</v>
      </c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7">
        <v>44062</v>
      </c>
      <c r="B237" s="8" t="s">
        <v>411</v>
      </c>
      <c r="C237" s="104" t="s">
        <v>200</v>
      </c>
      <c r="D237" s="9"/>
      <c r="E237" s="9">
        <f t="shared" si="48"/>
        <v>0</v>
      </c>
      <c r="F237" s="9">
        <v>236.94</v>
      </c>
      <c r="G237" s="9">
        <f t="shared" si="46"/>
        <v>0</v>
      </c>
      <c r="H237" s="9">
        <f t="shared" si="47"/>
        <v>0</v>
      </c>
      <c r="I237" s="9"/>
      <c r="J237" s="44" t="s">
        <v>108</v>
      </c>
      <c r="K237" s="10">
        <v>6873</v>
      </c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7">
        <v>44068</v>
      </c>
      <c r="B238" s="8" t="s">
        <v>412</v>
      </c>
      <c r="C238" s="104" t="s">
        <v>200</v>
      </c>
      <c r="D238" s="9"/>
      <c r="E238" s="9">
        <f t="shared" si="48"/>
        <v>0</v>
      </c>
      <c r="F238" s="9">
        <v>40594.94</v>
      </c>
      <c r="G238" s="9">
        <f t="shared" si="46"/>
        <v>0</v>
      </c>
      <c r="H238" s="9">
        <f t="shared" si="47"/>
        <v>0</v>
      </c>
      <c r="I238" s="9"/>
      <c r="J238" s="44" t="s">
        <v>70</v>
      </c>
      <c r="K238" s="10">
        <v>6812</v>
      </c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7">
        <v>44068</v>
      </c>
      <c r="B239" s="8" t="s">
        <v>413</v>
      </c>
      <c r="C239" s="104" t="s">
        <v>200</v>
      </c>
      <c r="D239" s="9"/>
      <c r="E239" s="9">
        <f t="shared" si="48"/>
        <v>0</v>
      </c>
      <c r="F239" s="9">
        <v>771303.88</v>
      </c>
      <c r="G239" s="9">
        <f t="shared" si="46"/>
        <v>0</v>
      </c>
      <c r="H239" s="9">
        <f t="shared" si="47"/>
        <v>0</v>
      </c>
      <c r="I239" s="9"/>
      <c r="J239" s="44" t="s">
        <v>70</v>
      </c>
      <c r="K239" s="10">
        <v>6812</v>
      </c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7">
        <v>44070</v>
      </c>
      <c r="B240" s="8" t="s">
        <v>414</v>
      </c>
      <c r="C240" s="104" t="s">
        <v>200</v>
      </c>
      <c r="D240" s="9"/>
      <c r="E240" s="9">
        <f t="shared" si="48"/>
        <v>0</v>
      </c>
      <c r="F240" s="9">
        <v>2500</v>
      </c>
      <c r="G240" s="9">
        <f t="shared" si="46"/>
        <v>0</v>
      </c>
      <c r="H240" s="9">
        <f t="shared" si="47"/>
        <v>0</v>
      </c>
      <c r="I240" s="9"/>
      <c r="J240" s="44" t="s">
        <v>79</v>
      </c>
      <c r="K240" s="10">
        <v>6849</v>
      </c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7">
        <v>44094</v>
      </c>
      <c r="B241" s="8" t="s">
        <v>417</v>
      </c>
      <c r="C241" s="104" t="s">
        <v>200</v>
      </c>
      <c r="D241" s="9">
        <f>7465.27+280319.13</f>
        <v>287784.40000000002</v>
      </c>
      <c r="E241" s="9">
        <f t="shared" si="48"/>
        <v>287784.40000000002</v>
      </c>
      <c r="F241" s="9"/>
      <c r="G241" s="9">
        <f t="shared" si="46"/>
        <v>0</v>
      </c>
      <c r="H241" s="9">
        <f t="shared" si="47"/>
        <v>287784.40000000002</v>
      </c>
      <c r="I241" s="9"/>
      <c r="J241" s="44"/>
      <c r="K241" s="10">
        <v>4664</v>
      </c>
      <c r="L241" s="9"/>
      <c r="M241" s="9"/>
      <c r="N241" s="9"/>
      <c r="O241" s="154" t="s">
        <v>406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7">
        <v>44075</v>
      </c>
      <c r="B242" s="8" t="s">
        <v>419</v>
      </c>
      <c r="C242" s="104" t="s">
        <v>119</v>
      </c>
      <c r="D242" s="9"/>
      <c r="E242" s="9">
        <f t="shared" si="48"/>
        <v>0</v>
      </c>
      <c r="F242" s="9"/>
      <c r="G242" s="9">
        <v>110225</v>
      </c>
      <c r="H242" s="9"/>
      <c r="I242" s="9"/>
      <c r="J242" s="44" t="s">
        <v>70</v>
      </c>
      <c r="K242" s="10"/>
      <c r="L242" s="9"/>
      <c r="M242" s="9"/>
      <c r="N242" s="9"/>
      <c r="O242" s="154" t="s">
        <v>418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  <row r="243" spans="1:254" x14ac:dyDescent="0.2">
      <c r="A243" s="48">
        <v>44061</v>
      </c>
      <c r="B243" s="157" t="s">
        <v>421</v>
      </c>
      <c r="C243" s="163" t="s">
        <v>80</v>
      </c>
      <c r="E243" s="9">
        <f t="shared" si="48"/>
        <v>0</v>
      </c>
      <c r="F243" s="158"/>
      <c r="G243" s="9">
        <f t="shared" ref="G243:G306" si="49">IF(J243&gt;0,0,F243)</f>
        <v>0</v>
      </c>
      <c r="H243" s="9">
        <f t="shared" ref="H243:H306" si="50">+D243</f>
        <v>0</v>
      </c>
      <c r="I243" s="11">
        <v>102689.86</v>
      </c>
      <c r="L243" s="9"/>
      <c r="O243" s="154" t="s">
        <v>407</v>
      </c>
    </row>
    <row r="244" spans="1:254" x14ac:dyDescent="0.2">
      <c r="A244" s="48">
        <v>44085</v>
      </c>
      <c r="B244" s="157" t="s">
        <v>425</v>
      </c>
      <c r="C244" s="163" t="s">
        <v>80</v>
      </c>
      <c r="E244" s="9">
        <f t="shared" si="48"/>
        <v>0</v>
      </c>
      <c r="F244" s="158"/>
      <c r="G244" s="9">
        <f t="shared" si="49"/>
        <v>0</v>
      </c>
      <c r="H244" s="9">
        <f t="shared" si="50"/>
        <v>0</v>
      </c>
      <c r="I244" s="11"/>
      <c r="L244" s="9">
        <v>94989.440000000002</v>
      </c>
    </row>
    <row r="245" spans="1:254" x14ac:dyDescent="0.2">
      <c r="A245" s="48">
        <v>44089</v>
      </c>
      <c r="B245" s="49" t="s">
        <v>422</v>
      </c>
      <c r="C245" s="163" t="s">
        <v>200</v>
      </c>
      <c r="E245" s="9">
        <f t="shared" si="48"/>
        <v>0</v>
      </c>
      <c r="F245" s="158">
        <v>102722.15</v>
      </c>
      <c r="G245" s="9">
        <f t="shared" si="49"/>
        <v>0</v>
      </c>
      <c r="H245" s="9">
        <f t="shared" si="50"/>
        <v>0</v>
      </c>
      <c r="I245" s="11"/>
      <c r="J245" s="87" t="s">
        <v>86</v>
      </c>
      <c r="K245" s="88">
        <v>6812</v>
      </c>
      <c r="L245" s="9"/>
    </row>
    <row r="246" spans="1:254" x14ac:dyDescent="0.2">
      <c r="A246" s="48">
        <v>44090</v>
      </c>
      <c r="B246" s="49" t="s">
        <v>423</v>
      </c>
      <c r="C246" s="163" t="s">
        <v>200</v>
      </c>
      <c r="E246" s="9">
        <f t="shared" si="48"/>
        <v>0</v>
      </c>
      <c r="F246" s="158">
        <v>438460.42</v>
      </c>
      <c r="G246" s="9">
        <f t="shared" si="49"/>
        <v>0</v>
      </c>
      <c r="H246" s="9">
        <f t="shared" si="50"/>
        <v>0</v>
      </c>
      <c r="I246" s="11"/>
      <c r="J246" s="87" t="s">
        <v>70</v>
      </c>
      <c r="K246" s="88">
        <v>6812</v>
      </c>
      <c r="L246" s="9"/>
    </row>
    <row r="247" spans="1:254" x14ac:dyDescent="0.2">
      <c r="A247" s="48">
        <v>44090</v>
      </c>
      <c r="B247" s="156" t="s">
        <v>424</v>
      </c>
      <c r="C247" s="163" t="s">
        <v>200</v>
      </c>
      <c r="D247" s="11"/>
      <c r="E247" s="9">
        <f t="shared" si="48"/>
        <v>0</v>
      </c>
      <c r="F247" s="158">
        <v>23076.880000000001</v>
      </c>
      <c r="G247" s="9">
        <f t="shared" si="49"/>
        <v>0</v>
      </c>
      <c r="H247" s="9">
        <f t="shared" si="50"/>
        <v>0</v>
      </c>
      <c r="I247" s="11"/>
      <c r="J247" s="87" t="s">
        <v>70</v>
      </c>
      <c r="K247" s="88">
        <v>6812</v>
      </c>
      <c r="L247" s="9"/>
    </row>
    <row r="248" spans="1:254" x14ac:dyDescent="0.2">
      <c r="A248" s="48">
        <v>44102</v>
      </c>
      <c r="B248" s="49" t="s">
        <v>426</v>
      </c>
      <c r="C248" s="163" t="s">
        <v>200</v>
      </c>
      <c r="E248" s="9">
        <f t="shared" si="48"/>
        <v>0</v>
      </c>
      <c r="F248" s="158">
        <v>2224.34</v>
      </c>
      <c r="G248" s="9">
        <f t="shared" si="49"/>
        <v>0</v>
      </c>
      <c r="H248" s="9">
        <f t="shared" si="50"/>
        <v>0</v>
      </c>
      <c r="I248" s="11"/>
      <c r="J248" s="87" t="s">
        <v>108</v>
      </c>
      <c r="K248" s="88">
        <v>6873</v>
      </c>
    </row>
    <row r="249" spans="1:254" x14ac:dyDescent="0.2">
      <c r="A249" s="48">
        <v>44118</v>
      </c>
      <c r="B249" s="157" t="s">
        <v>427</v>
      </c>
      <c r="C249" s="163" t="s">
        <v>80</v>
      </c>
      <c r="D249" s="11"/>
      <c r="E249" s="9">
        <f t="shared" si="48"/>
        <v>0</v>
      </c>
      <c r="F249" s="158"/>
      <c r="G249" s="9">
        <f t="shared" si="49"/>
        <v>0</v>
      </c>
      <c r="H249" s="9">
        <f t="shared" si="50"/>
        <v>0</v>
      </c>
      <c r="I249" s="11"/>
      <c r="L249" s="9">
        <v>65363.51</v>
      </c>
    </row>
    <row r="250" spans="1:254" x14ac:dyDescent="0.2">
      <c r="A250" s="48">
        <v>44124</v>
      </c>
      <c r="B250" s="8" t="s">
        <v>430</v>
      </c>
      <c r="C250" s="163" t="s">
        <v>200</v>
      </c>
      <c r="D250" s="11">
        <v>9736.08</v>
      </c>
      <c r="E250" s="9">
        <f t="shared" si="48"/>
        <v>9736.08</v>
      </c>
      <c r="F250" s="158"/>
      <c r="G250" s="9">
        <f t="shared" si="49"/>
        <v>0</v>
      </c>
      <c r="H250" s="9">
        <f t="shared" si="50"/>
        <v>9736.08</v>
      </c>
      <c r="I250" s="11"/>
      <c r="K250" s="88">
        <v>4664</v>
      </c>
      <c r="L250" s="9"/>
    </row>
    <row r="251" spans="1:254" x14ac:dyDescent="0.2">
      <c r="A251" s="48">
        <v>44126</v>
      </c>
      <c r="B251" s="49" t="s">
        <v>432</v>
      </c>
      <c r="C251" s="163" t="s">
        <v>119</v>
      </c>
      <c r="E251" s="9">
        <f t="shared" si="48"/>
        <v>0</v>
      </c>
      <c r="F251" s="158"/>
      <c r="G251" s="9">
        <v>162754</v>
      </c>
      <c r="H251" s="9">
        <f t="shared" si="50"/>
        <v>0</v>
      </c>
      <c r="I251" s="11"/>
      <c r="J251" s="87" t="s">
        <v>70</v>
      </c>
      <c r="L251" s="9"/>
    </row>
    <row r="252" spans="1:254" x14ac:dyDescent="0.2">
      <c r="A252" s="48">
        <v>44127</v>
      </c>
      <c r="B252" s="49" t="s">
        <v>433</v>
      </c>
      <c r="C252" s="163" t="s">
        <v>200</v>
      </c>
      <c r="E252" s="9">
        <f t="shared" si="48"/>
        <v>0</v>
      </c>
      <c r="F252" s="9">
        <v>103097.18</v>
      </c>
      <c r="H252" s="9">
        <f t="shared" si="50"/>
        <v>0</v>
      </c>
      <c r="I252" s="11"/>
      <c r="J252" s="87" t="s">
        <v>86</v>
      </c>
      <c r="K252" s="88">
        <v>6812</v>
      </c>
      <c r="L252" s="9"/>
    </row>
    <row r="253" spans="1:254" x14ac:dyDescent="0.2">
      <c r="A253" s="48">
        <v>44127</v>
      </c>
      <c r="B253" s="49" t="s">
        <v>434</v>
      </c>
      <c r="C253" s="163" t="s">
        <v>200</v>
      </c>
      <c r="E253" s="9">
        <f t="shared" si="48"/>
        <v>0</v>
      </c>
      <c r="F253" s="158">
        <v>20242.349999999999</v>
      </c>
      <c r="G253" s="9">
        <f t="shared" si="49"/>
        <v>0</v>
      </c>
      <c r="H253" s="9">
        <f t="shared" si="50"/>
        <v>0</v>
      </c>
      <c r="I253" s="11"/>
      <c r="J253" s="87" t="s">
        <v>70</v>
      </c>
      <c r="K253" s="88">
        <v>6812</v>
      </c>
      <c r="L253" s="9"/>
    </row>
    <row r="254" spans="1:254" x14ac:dyDescent="0.2">
      <c r="A254" s="48">
        <v>44127</v>
      </c>
      <c r="B254" s="49" t="s">
        <v>435</v>
      </c>
      <c r="C254" s="163" t="s">
        <v>200</v>
      </c>
      <c r="E254" s="9">
        <f t="shared" si="48"/>
        <v>0</v>
      </c>
      <c r="F254" s="158">
        <v>384604.4</v>
      </c>
      <c r="G254" s="9">
        <v>0</v>
      </c>
      <c r="H254" s="9">
        <f t="shared" si="50"/>
        <v>0</v>
      </c>
      <c r="I254" s="11"/>
      <c r="J254" s="87" t="s">
        <v>70</v>
      </c>
      <c r="K254" s="88">
        <v>6812</v>
      </c>
      <c r="L254" s="9"/>
    </row>
    <row r="255" spans="1:254" x14ac:dyDescent="0.2">
      <c r="A255" s="48">
        <v>44127</v>
      </c>
      <c r="B255" s="49" t="s">
        <v>436</v>
      </c>
      <c r="C255" s="163" t="s">
        <v>119</v>
      </c>
      <c r="E255" s="9">
        <f t="shared" si="48"/>
        <v>0</v>
      </c>
      <c r="F255" s="158"/>
      <c r="G255" s="9">
        <v>-58911</v>
      </c>
      <c r="H255" s="9">
        <f t="shared" si="50"/>
        <v>0</v>
      </c>
      <c r="I255" s="11"/>
      <c r="J255" s="87" t="s">
        <v>86</v>
      </c>
      <c r="L255" s="9"/>
    </row>
    <row r="256" spans="1:254" x14ac:dyDescent="0.2">
      <c r="A256" s="48">
        <v>44141</v>
      </c>
      <c r="B256" s="49" t="s">
        <v>437</v>
      </c>
      <c r="C256" s="163" t="s">
        <v>200</v>
      </c>
      <c r="E256" s="9">
        <f t="shared" si="48"/>
        <v>0</v>
      </c>
      <c r="F256" s="158">
        <v>803.91</v>
      </c>
      <c r="G256" s="9">
        <f t="shared" si="49"/>
        <v>0</v>
      </c>
      <c r="H256" s="9">
        <f t="shared" si="50"/>
        <v>0</v>
      </c>
      <c r="I256" s="11"/>
      <c r="J256" s="87" t="s">
        <v>108</v>
      </c>
      <c r="K256" s="88">
        <v>6873</v>
      </c>
      <c r="L256" s="9"/>
    </row>
    <row r="257" spans="1:12" x14ac:dyDescent="0.2">
      <c r="A257" s="48">
        <v>44154</v>
      </c>
      <c r="B257" s="49" t="s">
        <v>438</v>
      </c>
      <c r="C257" s="163" t="s">
        <v>200</v>
      </c>
      <c r="E257" s="9">
        <f t="shared" si="48"/>
        <v>0</v>
      </c>
      <c r="F257" s="158">
        <v>80093.42</v>
      </c>
      <c r="G257" s="9">
        <f t="shared" si="49"/>
        <v>0</v>
      </c>
      <c r="H257" s="9">
        <f t="shared" si="50"/>
        <v>0</v>
      </c>
      <c r="I257" s="11"/>
      <c r="J257" s="87" t="s">
        <v>70</v>
      </c>
      <c r="K257" s="88">
        <v>6812</v>
      </c>
      <c r="L257" s="9"/>
    </row>
    <row r="258" spans="1:12" x14ac:dyDescent="0.2">
      <c r="A258" s="48">
        <v>44155</v>
      </c>
      <c r="B258" s="157" t="s">
        <v>439</v>
      </c>
      <c r="C258" s="163" t="s">
        <v>80</v>
      </c>
      <c r="E258" s="9">
        <f t="shared" si="48"/>
        <v>0</v>
      </c>
      <c r="F258" s="158"/>
      <c r="G258" s="9">
        <f t="shared" si="49"/>
        <v>0</v>
      </c>
      <c r="H258" s="9">
        <f t="shared" si="50"/>
        <v>0</v>
      </c>
      <c r="I258" s="11"/>
      <c r="L258" s="9">
        <v>67943.22</v>
      </c>
    </row>
    <row r="259" spans="1:12" x14ac:dyDescent="0.2">
      <c r="A259" s="48">
        <v>44162</v>
      </c>
      <c r="B259" s="49" t="s">
        <v>440</v>
      </c>
      <c r="C259" s="163" t="s">
        <v>200</v>
      </c>
      <c r="E259" s="9">
        <f t="shared" si="48"/>
        <v>0</v>
      </c>
      <c r="F259" s="158">
        <v>79760.850000000006</v>
      </c>
      <c r="G259" s="9">
        <f t="shared" si="49"/>
        <v>0</v>
      </c>
      <c r="H259" s="9">
        <f t="shared" si="50"/>
        <v>0</v>
      </c>
      <c r="I259" s="11"/>
      <c r="J259" s="87" t="s">
        <v>84</v>
      </c>
      <c r="K259" s="88">
        <v>6861</v>
      </c>
      <c r="L259" s="9"/>
    </row>
    <row r="260" spans="1:12" x14ac:dyDescent="0.2">
      <c r="A260" s="48">
        <v>44153</v>
      </c>
      <c r="B260" s="157" t="s">
        <v>441</v>
      </c>
      <c r="C260" s="163" t="s">
        <v>80</v>
      </c>
      <c r="E260" s="9">
        <f t="shared" si="48"/>
        <v>0</v>
      </c>
      <c r="F260" s="158"/>
      <c r="G260" s="9">
        <f t="shared" si="49"/>
        <v>0</v>
      </c>
      <c r="H260" s="9">
        <f t="shared" si="50"/>
        <v>0</v>
      </c>
      <c r="I260" s="11">
        <v>65363.51</v>
      </c>
      <c r="L260" s="9"/>
    </row>
    <row r="261" spans="1:12" x14ac:dyDescent="0.2">
      <c r="A261" s="48">
        <v>44127</v>
      </c>
      <c r="B261" s="157" t="s">
        <v>442</v>
      </c>
      <c r="C261" s="163" t="s">
        <v>80</v>
      </c>
      <c r="E261" s="9">
        <f t="shared" si="48"/>
        <v>0</v>
      </c>
      <c r="F261" s="158"/>
      <c r="G261" s="9">
        <f t="shared" si="49"/>
        <v>0</v>
      </c>
      <c r="H261" s="9">
        <f t="shared" si="50"/>
        <v>0</v>
      </c>
      <c r="I261" s="11">
        <v>94989.440000000002</v>
      </c>
      <c r="L261" s="9"/>
    </row>
    <row r="262" spans="1:12" x14ac:dyDescent="0.2">
      <c r="A262" s="48">
        <v>44179</v>
      </c>
      <c r="B262" s="157" t="s">
        <v>443</v>
      </c>
      <c r="C262" s="163" t="s">
        <v>80</v>
      </c>
      <c r="E262" s="9">
        <f t="shared" si="48"/>
        <v>0</v>
      </c>
      <c r="F262" s="158"/>
      <c r="G262" s="9">
        <f t="shared" si="49"/>
        <v>0</v>
      </c>
      <c r="H262" s="9">
        <f t="shared" si="50"/>
        <v>0</v>
      </c>
      <c r="I262" s="11"/>
      <c r="L262" s="9">
        <v>9203.18</v>
      </c>
    </row>
    <row r="263" spans="1:12" x14ac:dyDescent="0.2">
      <c r="A263" s="48">
        <v>44181</v>
      </c>
      <c r="B263" s="49" t="s">
        <v>444</v>
      </c>
      <c r="C263" s="163" t="s">
        <v>200</v>
      </c>
      <c r="E263" s="9">
        <f t="shared" si="48"/>
        <v>0</v>
      </c>
      <c r="F263" s="158">
        <v>151173.21</v>
      </c>
      <c r="G263" s="9">
        <f t="shared" si="49"/>
        <v>0</v>
      </c>
      <c r="H263" s="9">
        <f t="shared" si="50"/>
        <v>0</v>
      </c>
      <c r="I263" s="11"/>
      <c r="J263" s="87" t="s">
        <v>70</v>
      </c>
      <c r="K263" s="88">
        <v>6812</v>
      </c>
      <c r="L263" s="9"/>
    </row>
    <row r="264" spans="1:12" x14ac:dyDescent="0.2">
      <c r="A264" s="48">
        <v>44181</v>
      </c>
      <c r="B264" s="49" t="s">
        <v>445</v>
      </c>
      <c r="C264" s="163" t="s">
        <v>200</v>
      </c>
      <c r="E264" s="9">
        <f t="shared" si="48"/>
        <v>0</v>
      </c>
      <c r="F264" s="158">
        <v>7956.5</v>
      </c>
      <c r="G264" s="9">
        <f t="shared" si="49"/>
        <v>0</v>
      </c>
      <c r="H264" s="9">
        <f t="shared" si="50"/>
        <v>0</v>
      </c>
      <c r="I264" s="11"/>
      <c r="J264" s="87" t="s">
        <v>70</v>
      </c>
      <c r="K264" s="88">
        <v>6812</v>
      </c>
      <c r="L264" s="9"/>
    </row>
    <row r="265" spans="1:12" x14ac:dyDescent="0.2">
      <c r="A265" s="48">
        <v>44187</v>
      </c>
      <c r="B265" s="49" t="s">
        <v>446</v>
      </c>
      <c r="C265" s="163" t="s">
        <v>200</v>
      </c>
      <c r="E265" s="9">
        <f t="shared" si="48"/>
        <v>0</v>
      </c>
      <c r="F265" s="158">
        <v>73519.53</v>
      </c>
      <c r="G265" s="9">
        <f t="shared" si="49"/>
        <v>0</v>
      </c>
      <c r="H265" s="9">
        <f t="shared" si="50"/>
        <v>0</v>
      </c>
      <c r="I265" s="11"/>
      <c r="J265" s="87" t="s">
        <v>86</v>
      </c>
      <c r="K265" s="88">
        <v>6812</v>
      </c>
    </row>
    <row r="266" spans="1:12" x14ac:dyDescent="0.2">
      <c r="A266" s="48">
        <f>+A265</f>
        <v>44187</v>
      </c>
      <c r="B266" s="8" t="s">
        <v>448</v>
      </c>
      <c r="C266" s="163" t="s">
        <v>200</v>
      </c>
      <c r="D266" s="11">
        <v>9618.42</v>
      </c>
      <c r="E266" s="9">
        <f t="shared" si="48"/>
        <v>9618.42</v>
      </c>
      <c r="F266" s="11"/>
      <c r="G266" s="9">
        <f t="shared" si="49"/>
        <v>0</v>
      </c>
      <c r="H266" s="9">
        <f t="shared" si="50"/>
        <v>9618.42</v>
      </c>
      <c r="I266" s="11"/>
      <c r="K266" s="88">
        <v>4664</v>
      </c>
    </row>
    <row r="267" spans="1:12" x14ac:dyDescent="0.2">
      <c r="A267" s="48">
        <v>44194</v>
      </c>
      <c r="B267" s="49" t="s">
        <v>449</v>
      </c>
      <c r="C267" s="163" t="s">
        <v>119</v>
      </c>
      <c r="D267" s="11"/>
      <c r="E267" s="9">
        <f t="shared" si="48"/>
        <v>0</v>
      </c>
      <c r="F267" s="11"/>
      <c r="G267" s="9">
        <v>54909</v>
      </c>
      <c r="H267" s="9">
        <f t="shared" si="50"/>
        <v>0</v>
      </c>
      <c r="I267" s="11"/>
      <c r="J267" s="87" t="s">
        <v>70</v>
      </c>
      <c r="L267" s="9"/>
    </row>
    <row r="268" spans="1:12" x14ac:dyDescent="0.2">
      <c r="A268" s="48">
        <v>44195</v>
      </c>
      <c r="B268" s="49" t="s">
        <v>450</v>
      </c>
      <c r="C268" s="163" t="s">
        <v>200</v>
      </c>
      <c r="D268" s="11"/>
      <c r="E268" s="9">
        <f t="shared" si="48"/>
        <v>0</v>
      </c>
      <c r="F268" s="11">
        <v>1510.53</v>
      </c>
      <c r="G268" s="9">
        <f t="shared" si="49"/>
        <v>0</v>
      </c>
      <c r="H268" s="9">
        <f t="shared" si="50"/>
        <v>0</v>
      </c>
      <c r="I268" s="11"/>
      <c r="J268" s="87" t="s">
        <v>84</v>
      </c>
      <c r="K268" s="88">
        <v>6861</v>
      </c>
      <c r="L268" s="9"/>
    </row>
    <row r="269" spans="1:12" x14ac:dyDescent="0.2">
      <c r="A269" s="48">
        <v>44188</v>
      </c>
      <c r="B269" s="157" t="s">
        <v>451</v>
      </c>
      <c r="C269" s="163" t="s">
        <v>80</v>
      </c>
      <c r="D269" s="11"/>
      <c r="E269" s="9">
        <f t="shared" si="48"/>
        <v>0</v>
      </c>
      <c r="F269" s="11"/>
      <c r="G269" s="9">
        <f t="shared" si="49"/>
        <v>0</v>
      </c>
      <c r="H269" s="9">
        <f t="shared" si="50"/>
        <v>0</v>
      </c>
      <c r="I269" s="11">
        <v>67943.22</v>
      </c>
      <c r="K269" s="88">
        <v>4760</v>
      </c>
      <c r="L269" s="9"/>
    </row>
    <row r="270" spans="1:12" x14ac:dyDescent="0.2">
      <c r="A270" s="48">
        <v>44208</v>
      </c>
      <c r="B270" s="49" t="s">
        <v>452</v>
      </c>
      <c r="C270" s="163" t="s">
        <v>200</v>
      </c>
      <c r="D270" s="11"/>
      <c r="E270" s="9">
        <f t="shared" si="48"/>
        <v>0</v>
      </c>
      <c r="F270" s="11">
        <v>3912.28</v>
      </c>
      <c r="G270" s="9">
        <f t="shared" si="49"/>
        <v>0</v>
      </c>
      <c r="H270" s="9">
        <f t="shared" si="50"/>
        <v>0</v>
      </c>
      <c r="I270" s="11"/>
      <c r="J270" s="87" t="s">
        <v>70</v>
      </c>
      <c r="K270" s="88">
        <v>6812</v>
      </c>
      <c r="L270" s="9"/>
    </row>
    <row r="271" spans="1:12" x14ac:dyDescent="0.2">
      <c r="A271" s="48">
        <v>44208</v>
      </c>
      <c r="B271" s="49" t="s">
        <v>453</v>
      </c>
      <c r="C271" s="163" t="s">
        <v>200</v>
      </c>
      <c r="D271" s="11"/>
      <c r="E271" s="9">
        <f t="shared" si="48"/>
        <v>0</v>
      </c>
      <c r="F271" s="11">
        <v>75870.41</v>
      </c>
      <c r="G271" s="9">
        <f t="shared" si="49"/>
        <v>0</v>
      </c>
      <c r="H271" s="9">
        <f t="shared" si="50"/>
        <v>0</v>
      </c>
      <c r="I271" s="11"/>
      <c r="J271" s="87" t="s">
        <v>70</v>
      </c>
      <c r="K271" s="88">
        <v>6812</v>
      </c>
    </row>
    <row r="272" spans="1:12" x14ac:dyDescent="0.2">
      <c r="A272" s="48">
        <v>44211</v>
      </c>
      <c r="B272" s="157" t="s">
        <v>454</v>
      </c>
      <c r="C272" s="163" t="s">
        <v>80</v>
      </c>
      <c r="D272" s="11"/>
      <c r="E272" s="9">
        <f t="shared" si="48"/>
        <v>0</v>
      </c>
      <c r="F272" s="11"/>
      <c r="G272" s="9">
        <v>0</v>
      </c>
      <c r="H272" s="9">
        <f t="shared" si="50"/>
        <v>0</v>
      </c>
      <c r="I272" s="11"/>
      <c r="L272" s="9">
        <v>36224.129999999997</v>
      </c>
    </row>
    <row r="273" spans="1:12" x14ac:dyDescent="0.2">
      <c r="A273" s="48">
        <v>44218</v>
      </c>
      <c r="B273" s="49" t="s">
        <v>455</v>
      </c>
      <c r="C273" s="163" t="s">
        <v>200</v>
      </c>
      <c r="D273" s="11"/>
      <c r="E273" s="9">
        <f t="shared" si="48"/>
        <v>0</v>
      </c>
      <c r="F273" s="11">
        <v>98.97</v>
      </c>
      <c r="G273" s="9">
        <f t="shared" si="49"/>
        <v>0</v>
      </c>
      <c r="H273" s="9">
        <f t="shared" si="50"/>
        <v>0</v>
      </c>
      <c r="I273" s="11"/>
      <c r="J273" s="87" t="s">
        <v>108</v>
      </c>
      <c r="K273" s="88">
        <v>6873</v>
      </c>
      <c r="L273" s="9"/>
    </row>
    <row r="274" spans="1:12" x14ac:dyDescent="0.2">
      <c r="A274" s="48">
        <v>44221</v>
      </c>
      <c r="B274" s="49" t="s">
        <v>456</v>
      </c>
      <c r="C274" s="163" t="s">
        <v>119</v>
      </c>
      <c r="D274" s="11"/>
      <c r="E274" s="9">
        <f t="shared" si="48"/>
        <v>0</v>
      </c>
      <c r="F274" s="11"/>
      <c r="G274" s="9">
        <v>-117108.93</v>
      </c>
      <c r="H274" s="9">
        <f t="shared" si="50"/>
        <v>0</v>
      </c>
      <c r="I274" s="11"/>
      <c r="J274" s="87" t="s">
        <v>108</v>
      </c>
      <c r="L274" s="9"/>
    </row>
    <row r="275" spans="1:12" x14ac:dyDescent="0.2">
      <c r="A275" s="48">
        <v>44219</v>
      </c>
      <c r="B275" s="49" t="s">
        <v>457</v>
      </c>
      <c r="C275" s="163" t="s">
        <v>200</v>
      </c>
      <c r="D275" s="11"/>
      <c r="E275" s="9">
        <f t="shared" si="48"/>
        <v>0</v>
      </c>
      <c r="F275" s="11">
        <v>1538</v>
      </c>
      <c r="G275" s="9">
        <f t="shared" si="49"/>
        <v>0</v>
      </c>
      <c r="H275" s="9">
        <f t="shared" si="50"/>
        <v>0</v>
      </c>
      <c r="I275" s="11"/>
      <c r="J275" s="87" t="s">
        <v>84</v>
      </c>
      <c r="K275" s="88">
        <v>6861</v>
      </c>
    </row>
    <row r="276" spans="1:12" x14ac:dyDescent="0.2">
      <c r="A276" s="48">
        <v>44228</v>
      </c>
      <c r="B276" s="8" t="s">
        <v>460</v>
      </c>
      <c r="C276" s="163" t="s">
        <v>200</v>
      </c>
      <c r="D276" s="11">
        <v>6233.88</v>
      </c>
      <c r="E276" s="9">
        <f t="shared" si="48"/>
        <v>6233.88</v>
      </c>
      <c r="F276" s="11"/>
      <c r="G276" s="9">
        <f t="shared" si="49"/>
        <v>0</v>
      </c>
      <c r="H276" s="9">
        <f t="shared" si="50"/>
        <v>6233.88</v>
      </c>
      <c r="I276" s="11"/>
      <c r="L276" s="9"/>
    </row>
    <row r="277" spans="1:12" x14ac:dyDescent="0.2">
      <c r="A277" s="48">
        <v>44231</v>
      </c>
      <c r="B277" s="49" t="s">
        <v>461</v>
      </c>
      <c r="C277" s="163" t="s">
        <v>119</v>
      </c>
      <c r="D277" s="11"/>
      <c r="E277" s="9">
        <f t="shared" si="48"/>
        <v>0</v>
      </c>
      <c r="F277" s="11"/>
      <c r="G277" s="9">
        <v>31942</v>
      </c>
      <c r="H277" s="9">
        <f t="shared" si="50"/>
        <v>0</v>
      </c>
      <c r="I277" s="11"/>
      <c r="J277" s="87" t="s">
        <v>70</v>
      </c>
      <c r="L277" s="9"/>
    </row>
    <row r="278" spans="1:12" x14ac:dyDescent="0.2">
      <c r="A278" s="48">
        <v>44231</v>
      </c>
      <c r="B278" s="49" t="s">
        <v>462</v>
      </c>
      <c r="C278" s="163" t="s">
        <v>119</v>
      </c>
      <c r="D278" s="11"/>
      <c r="E278" s="9">
        <f t="shared" si="48"/>
        <v>0</v>
      </c>
      <c r="F278" s="11"/>
      <c r="G278" s="9">
        <v>10633</v>
      </c>
      <c r="H278" s="9">
        <f t="shared" si="50"/>
        <v>0</v>
      </c>
      <c r="I278" s="11"/>
      <c r="J278" s="87" t="s">
        <v>70</v>
      </c>
      <c r="L278" s="9"/>
    </row>
    <row r="279" spans="1:12" x14ac:dyDescent="0.2">
      <c r="A279" s="48">
        <v>44224</v>
      </c>
      <c r="B279" s="157" t="s">
        <v>463</v>
      </c>
      <c r="C279" s="163" t="s">
        <v>80</v>
      </c>
      <c r="D279" s="11"/>
      <c r="E279" s="9">
        <f t="shared" si="48"/>
        <v>0</v>
      </c>
      <c r="F279" s="11"/>
      <c r="G279" s="9">
        <f t="shared" si="49"/>
        <v>0</v>
      </c>
      <c r="H279" s="9">
        <f t="shared" si="50"/>
        <v>0</v>
      </c>
      <c r="I279" s="11">
        <v>9203.18</v>
      </c>
      <c r="K279" s="88">
        <v>4760</v>
      </c>
      <c r="L279" s="9"/>
    </row>
    <row r="280" spans="1:12" x14ac:dyDescent="0.2">
      <c r="A280" s="48">
        <v>44238</v>
      </c>
      <c r="B280" s="157" t="s">
        <v>464</v>
      </c>
      <c r="C280" s="163" t="s">
        <v>80</v>
      </c>
      <c r="D280" s="11"/>
      <c r="E280" s="9">
        <f t="shared" si="48"/>
        <v>0</v>
      </c>
      <c r="F280" s="11"/>
      <c r="G280" s="9">
        <f t="shared" si="49"/>
        <v>0</v>
      </c>
      <c r="H280" s="9">
        <f t="shared" si="50"/>
        <v>0</v>
      </c>
      <c r="I280" s="11"/>
      <c r="L280" s="9">
        <v>188.88</v>
      </c>
    </row>
    <row r="281" spans="1:12" x14ac:dyDescent="0.2">
      <c r="A281" s="48">
        <v>44238</v>
      </c>
      <c r="B281" s="49" t="s">
        <v>465</v>
      </c>
      <c r="C281" s="163" t="s">
        <v>200</v>
      </c>
      <c r="D281" s="11"/>
      <c r="E281" s="9">
        <f t="shared" si="48"/>
        <v>0</v>
      </c>
      <c r="F281" s="11">
        <v>6864.03</v>
      </c>
      <c r="G281" s="9">
        <f t="shared" si="49"/>
        <v>0</v>
      </c>
      <c r="H281" s="9">
        <f t="shared" si="50"/>
        <v>0</v>
      </c>
      <c r="I281" s="11"/>
      <c r="J281" s="87" t="s">
        <v>70</v>
      </c>
      <c r="K281" s="88">
        <v>6812</v>
      </c>
      <c r="L281" s="9"/>
    </row>
    <row r="282" spans="1:12" x14ac:dyDescent="0.2">
      <c r="A282" s="48">
        <v>44238</v>
      </c>
      <c r="B282" s="49" t="s">
        <v>466</v>
      </c>
      <c r="C282" s="163" t="s">
        <v>200</v>
      </c>
      <c r="D282" s="11"/>
      <c r="E282" s="9">
        <f t="shared" si="48"/>
        <v>0</v>
      </c>
      <c r="F282" s="11">
        <v>130416.59</v>
      </c>
      <c r="G282" s="9">
        <f t="shared" si="49"/>
        <v>0</v>
      </c>
      <c r="H282" s="9">
        <f t="shared" si="50"/>
        <v>0</v>
      </c>
      <c r="I282" s="11"/>
      <c r="J282" s="87" t="s">
        <v>70</v>
      </c>
      <c r="K282" s="88">
        <v>6812</v>
      </c>
      <c r="L282" s="9"/>
    </row>
    <row r="283" spans="1:12" x14ac:dyDescent="0.2">
      <c r="A283" s="48">
        <v>44245</v>
      </c>
      <c r="B283" s="49" t="s">
        <v>467</v>
      </c>
      <c r="C283" s="163" t="s">
        <v>200</v>
      </c>
      <c r="D283" s="11"/>
      <c r="E283" s="9">
        <f t="shared" si="48"/>
        <v>0</v>
      </c>
      <c r="F283" s="11">
        <v>721047.07</v>
      </c>
      <c r="G283" s="9">
        <f t="shared" si="49"/>
        <v>0</v>
      </c>
      <c r="H283" s="9">
        <f t="shared" si="50"/>
        <v>0</v>
      </c>
      <c r="I283" s="11"/>
      <c r="J283" s="87" t="s">
        <v>86</v>
      </c>
      <c r="K283" s="88">
        <v>6812</v>
      </c>
      <c r="L283" s="9"/>
    </row>
    <row r="284" spans="1:12" x14ac:dyDescent="0.2">
      <c r="A284" s="48">
        <v>44253</v>
      </c>
      <c r="B284" s="157" t="s">
        <v>468</v>
      </c>
      <c r="C284" s="163" t="s">
        <v>80</v>
      </c>
      <c r="D284" s="11"/>
      <c r="E284" s="9">
        <f t="shared" si="48"/>
        <v>0</v>
      </c>
      <c r="F284" s="11"/>
      <c r="G284" s="9">
        <f t="shared" si="49"/>
        <v>0</v>
      </c>
      <c r="H284" s="9">
        <f t="shared" si="50"/>
        <v>0</v>
      </c>
      <c r="I284" s="11">
        <v>36224.129999999997</v>
      </c>
      <c r="K284" s="88">
        <v>4760</v>
      </c>
      <c r="L284" s="9"/>
    </row>
    <row r="285" spans="1:12" x14ac:dyDescent="0.2">
      <c r="A285" s="48">
        <v>44271</v>
      </c>
      <c r="B285" s="157" t="s">
        <v>469</v>
      </c>
      <c r="C285" s="163" t="s">
        <v>80</v>
      </c>
      <c r="D285" s="11"/>
      <c r="E285" s="9">
        <f t="shared" si="48"/>
        <v>0</v>
      </c>
      <c r="F285" s="11"/>
      <c r="G285" s="9">
        <f t="shared" si="49"/>
        <v>0</v>
      </c>
      <c r="H285" s="9">
        <f t="shared" si="50"/>
        <v>0</v>
      </c>
      <c r="I285" s="11"/>
      <c r="L285" s="9">
        <v>99037.81</v>
      </c>
    </row>
    <row r="286" spans="1:12" x14ac:dyDescent="0.2">
      <c r="A286" s="48">
        <v>44272</v>
      </c>
      <c r="B286" s="49" t="s">
        <v>470</v>
      </c>
      <c r="C286" s="163" t="s">
        <v>200</v>
      </c>
      <c r="D286" s="11"/>
      <c r="E286" s="9">
        <f t="shared" si="48"/>
        <v>0</v>
      </c>
      <c r="F286" s="11">
        <v>376936.14</v>
      </c>
      <c r="G286" s="9">
        <f t="shared" si="49"/>
        <v>0</v>
      </c>
      <c r="H286" s="9">
        <f t="shared" si="50"/>
        <v>0</v>
      </c>
      <c r="I286" s="11"/>
      <c r="J286" s="87" t="s">
        <v>86</v>
      </c>
      <c r="K286" s="88">
        <v>6812</v>
      </c>
    </row>
    <row r="287" spans="1:12" x14ac:dyDescent="0.2">
      <c r="A287" s="48">
        <v>44272</v>
      </c>
      <c r="B287" s="157" t="s">
        <v>471</v>
      </c>
      <c r="C287" s="163" t="s">
        <v>80</v>
      </c>
      <c r="D287" s="11"/>
      <c r="E287" s="9">
        <f t="shared" si="48"/>
        <v>0</v>
      </c>
      <c r="F287" s="11"/>
      <c r="G287" s="9">
        <f t="shared" si="49"/>
        <v>0</v>
      </c>
      <c r="H287" s="9">
        <f t="shared" si="50"/>
        <v>0</v>
      </c>
      <c r="I287" s="11">
        <v>188.88</v>
      </c>
      <c r="K287" s="88">
        <v>4760</v>
      </c>
      <c r="L287" s="9"/>
    </row>
    <row r="288" spans="1:12" x14ac:dyDescent="0.2">
      <c r="A288" s="48">
        <v>44302</v>
      </c>
      <c r="B288" s="157" t="s">
        <v>472</v>
      </c>
      <c r="C288" s="163" t="s">
        <v>80</v>
      </c>
      <c r="D288" s="11"/>
      <c r="E288" s="9">
        <f t="shared" si="48"/>
        <v>0</v>
      </c>
      <c r="F288" s="11"/>
      <c r="G288" s="9">
        <f t="shared" si="49"/>
        <v>0</v>
      </c>
      <c r="H288" s="9">
        <f t="shared" si="50"/>
        <v>0</v>
      </c>
      <c r="I288" s="11"/>
      <c r="L288" s="9">
        <v>43492.63</v>
      </c>
    </row>
    <row r="289" spans="1:12" x14ac:dyDescent="0.2">
      <c r="A289" s="48">
        <v>44301</v>
      </c>
      <c r="B289" s="49" t="s">
        <v>473</v>
      </c>
      <c r="C289" s="163" t="s">
        <v>200</v>
      </c>
      <c r="D289" s="11"/>
      <c r="E289" s="9">
        <f t="shared" si="48"/>
        <v>0</v>
      </c>
      <c r="F289" s="11">
        <v>1522.09</v>
      </c>
      <c r="G289" s="9">
        <f t="shared" si="49"/>
        <v>0</v>
      </c>
      <c r="H289" s="9">
        <f t="shared" si="50"/>
        <v>0</v>
      </c>
      <c r="I289" s="11"/>
      <c r="J289" s="87" t="s">
        <v>70</v>
      </c>
      <c r="K289" s="88">
        <v>6812</v>
      </c>
      <c r="L289" s="9"/>
    </row>
    <row r="290" spans="1:12" x14ac:dyDescent="0.2">
      <c r="A290" s="48">
        <v>44301</v>
      </c>
      <c r="B290" s="49" t="s">
        <v>474</v>
      </c>
      <c r="C290" s="163" t="s">
        <v>200</v>
      </c>
      <c r="D290" s="11"/>
      <c r="E290" s="9">
        <f t="shared" si="48"/>
        <v>0</v>
      </c>
      <c r="F290" s="11">
        <v>28919.59</v>
      </c>
      <c r="G290" s="9">
        <f t="shared" si="49"/>
        <v>0</v>
      </c>
      <c r="H290" s="9">
        <f t="shared" si="50"/>
        <v>0</v>
      </c>
      <c r="I290" s="11"/>
      <c r="J290" s="87" t="s">
        <v>70</v>
      </c>
      <c r="K290" s="88">
        <v>6812</v>
      </c>
      <c r="L290" s="9"/>
    </row>
    <row r="291" spans="1:12" x14ac:dyDescent="0.2">
      <c r="A291" s="48">
        <v>44306</v>
      </c>
      <c r="B291" s="49" t="s">
        <v>475</v>
      </c>
      <c r="C291" s="163" t="s">
        <v>119</v>
      </c>
      <c r="D291" s="11"/>
      <c r="E291" s="9">
        <f t="shared" si="48"/>
        <v>0</v>
      </c>
      <c r="F291" s="11"/>
      <c r="G291" s="9">
        <v>3286</v>
      </c>
      <c r="H291" s="9">
        <f t="shared" si="50"/>
        <v>0</v>
      </c>
      <c r="I291" s="11"/>
      <c r="J291" s="87" t="s">
        <v>70</v>
      </c>
      <c r="L291" s="9"/>
    </row>
    <row r="292" spans="1:12" x14ac:dyDescent="0.2">
      <c r="A292" s="48">
        <v>44309</v>
      </c>
      <c r="B292" s="157" t="s">
        <v>476</v>
      </c>
      <c r="C292" s="163" t="s">
        <v>80</v>
      </c>
      <c r="D292" s="11"/>
      <c r="E292" s="9">
        <f t="shared" si="48"/>
        <v>0</v>
      </c>
      <c r="F292" s="11"/>
      <c r="G292" s="9">
        <f t="shared" si="49"/>
        <v>0</v>
      </c>
      <c r="H292" s="9">
        <f t="shared" si="50"/>
        <v>0</v>
      </c>
      <c r="I292" s="11">
        <v>99037.81</v>
      </c>
      <c r="K292" s="88">
        <v>4760</v>
      </c>
      <c r="L292" s="9"/>
    </row>
    <row r="293" spans="1:12" x14ac:dyDescent="0.2">
      <c r="A293" s="48">
        <v>44335</v>
      </c>
      <c r="B293" s="157" t="s">
        <v>477</v>
      </c>
      <c r="C293" s="163" t="s">
        <v>80</v>
      </c>
      <c r="D293" s="11"/>
      <c r="E293" s="9">
        <f t="shared" si="48"/>
        <v>0</v>
      </c>
      <c r="F293" s="11"/>
      <c r="G293" s="9">
        <f t="shared" si="49"/>
        <v>0</v>
      </c>
      <c r="H293" s="9">
        <f t="shared" si="50"/>
        <v>0</v>
      </c>
      <c r="I293" s="11"/>
      <c r="L293" s="9">
        <v>3512.5</v>
      </c>
    </row>
    <row r="294" spans="1:12" x14ac:dyDescent="0.2">
      <c r="A294" s="48">
        <v>44337</v>
      </c>
      <c r="B294" s="157" t="s">
        <v>478</v>
      </c>
      <c r="C294" s="163" t="s">
        <v>80</v>
      </c>
      <c r="D294" s="11"/>
      <c r="E294" s="9">
        <f t="shared" si="48"/>
        <v>0</v>
      </c>
      <c r="F294" s="11"/>
      <c r="G294" s="9">
        <f t="shared" si="49"/>
        <v>0</v>
      </c>
      <c r="H294" s="9">
        <f t="shared" si="50"/>
        <v>0</v>
      </c>
      <c r="I294" s="11">
        <v>43492.63</v>
      </c>
      <c r="K294" s="88">
        <v>4760</v>
      </c>
    </row>
    <row r="295" spans="1:12" x14ac:dyDescent="0.2">
      <c r="A295" s="48">
        <v>44340</v>
      </c>
      <c r="B295" s="49" t="s">
        <v>479</v>
      </c>
      <c r="C295" s="163" t="s">
        <v>200</v>
      </c>
      <c r="D295" s="11"/>
      <c r="E295" s="9">
        <f t="shared" si="48"/>
        <v>0</v>
      </c>
      <c r="F295" s="11">
        <v>60139.25</v>
      </c>
      <c r="G295" s="9">
        <f t="shared" si="49"/>
        <v>0</v>
      </c>
      <c r="H295" s="9">
        <f t="shared" si="50"/>
        <v>0</v>
      </c>
      <c r="I295" s="11"/>
      <c r="J295" s="87" t="s">
        <v>70</v>
      </c>
      <c r="K295" s="88">
        <v>6812</v>
      </c>
    </row>
    <row r="296" spans="1:12" x14ac:dyDescent="0.2">
      <c r="A296" s="48">
        <v>44340</v>
      </c>
      <c r="B296" s="49" t="s">
        <v>480</v>
      </c>
      <c r="C296" s="163" t="s">
        <v>200</v>
      </c>
      <c r="D296" s="11"/>
      <c r="E296" s="9">
        <f t="shared" si="48"/>
        <v>0</v>
      </c>
      <c r="F296" s="11">
        <v>80687.789999999994</v>
      </c>
      <c r="G296" s="9">
        <f t="shared" si="49"/>
        <v>0</v>
      </c>
      <c r="H296" s="9">
        <f t="shared" si="50"/>
        <v>0</v>
      </c>
      <c r="I296" s="11"/>
      <c r="J296" s="87" t="s">
        <v>86</v>
      </c>
      <c r="K296" s="88">
        <v>6812</v>
      </c>
    </row>
    <row r="297" spans="1:12" x14ac:dyDescent="0.2">
      <c r="A297" s="48">
        <v>44356</v>
      </c>
      <c r="B297" s="49" t="s">
        <v>481</v>
      </c>
      <c r="C297" s="163" t="s">
        <v>485</v>
      </c>
      <c r="D297" s="11"/>
      <c r="E297" s="9">
        <f t="shared" ref="E297:E360" si="51">+D297</f>
        <v>0</v>
      </c>
      <c r="F297" s="11">
        <v>1106.8900000000001</v>
      </c>
      <c r="G297" s="9">
        <f t="shared" si="49"/>
        <v>0</v>
      </c>
      <c r="H297" s="9">
        <f t="shared" si="50"/>
        <v>0</v>
      </c>
      <c r="I297" s="11"/>
      <c r="J297" s="87" t="s">
        <v>70</v>
      </c>
      <c r="K297" s="88">
        <v>6812</v>
      </c>
      <c r="L297" s="158"/>
    </row>
    <row r="298" spans="1:12" x14ac:dyDescent="0.2">
      <c r="A298" s="48">
        <v>44356</v>
      </c>
      <c r="B298" s="49" t="s">
        <v>482</v>
      </c>
      <c r="C298" s="163" t="s">
        <v>485</v>
      </c>
      <c r="D298" s="11"/>
      <c r="E298" s="9">
        <f t="shared" si="51"/>
        <v>0</v>
      </c>
      <c r="F298" s="11">
        <v>21030.82</v>
      </c>
      <c r="G298" s="9">
        <f t="shared" si="49"/>
        <v>0</v>
      </c>
      <c r="H298" s="9">
        <f t="shared" si="50"/>
        <v>0</v>
      </c>
      <c r="I298" s="11"/>
      <c r="J298" s="87" t="s">
        <v>70</v>
      </c>
      <c r="K298" s="88">
        <v>6812</v>
      </c>
      <c r="L298" s="158"/>
    </row>
    <row r="299" spans="1:12" x14ac:dyDescent="0.2">
      <c r="A299" s="48">
        <v>44361</v>
      </c>
      <c r="B299" s="157" t="s">
        <v>483</v>
      </c>
      <c r="C299" s="163" t="s">
        <v>80</v>
      </c>
      <c r="D299" s="11"/>
      <c r="E299" s="9">
        <f t="shared" si="51"/>
        <v>0</v>
      </c>
      <c r="F299" s="11"/>
      <c r="G299" s="9">
        <f t="shared" si="49"/>
        <v>0</v>
      </c>
      <c r="H299" s="9">
        <f t="shared" si="50"/>
        <v>0</v>
      </c>
      <c r="I299" s="11"/>
      <c r="L299" s="158">
        <v>18803.63</v>
      </c>
    </row>
    <row r="300" spans="1:12" x14ac:dyDescent="0.2">
      <c r="A300" s="48">
        <v>44372</v>
      </c>
      <c r="B300" s="49" t="s">
        <v>484</v>
      </c>
      <c r="C300" s="163" t="s">
        <v>485</v>
      </c>
      <c r="D300" s="11"/>
      <c r="E300" s="9">
        <f t="shared" si="51"/>
        <v>0</v>
      </c>
      <c r="F300" s="11">
        <v>62753.27</v>
      </c>
      <c r="G300" s="9">
        <f t="shared" si="49"/>
        <v>0</v>
      </c>
      <c r="H300" s="9">
        <f t="shared" si="50"/>
        <v>0</v>
      </c>
      <c r="I300" s="11"/>
      <c r="J300" s="87" t="s">
        <v>86</v>
      </c>
      <c r="K300" s="88">
        <v>6812</v>
      </c>
      <c r="L300" s="158"/>
    </row>
    <row r="301" spans="1:12" x14ac:dyDescent="0.2">
      <c r="A301" s="48">
        <v>44370</v>
      </c>
      <c r="B301" s="157" t="s">
        <v>486</v>
      </c>
      <c r="C301" s="163" t="s">
        <v>80</v>
      </c>
      <c r="D301" s="11"/>
      <c r="E301" s="9">
        <f t="shared" si="51"/>
        <v>0</v>
      </c>
      <c r="F301" s="11"/>
      <c r="G301" s="9">
        <f t="shared" si="49"/>
        <v>0</v>
      </c>
      <c r="H301" s="9">
        <f t="shared" si="50"/>
        <v>0</v>
      </c>
      <c r="I301" s="11">
        <v>3512.5</v>
      </c>
      <c r="K301" s="88">
        <v>4760</v>
      </c>
      <c r="L301" s="158"/>
    </row>
    <row r="302" spans="1:12" x14ac:dyDescent="0.2">
      <c r="A302" s="48">
        <v>44377</v>
      </c>
      <c r="B302" s="157" t="s">
        <v>487</v>
      </c>
      <c r="C302" s="163" t="s">
        <v>80</v>
      </c>
      <c r="D302" s="11"/>
      <c r="E302" s="9">
        <f t="shared" si="51"/>
        <v>0</v>
      </c>
      <c r="F302" s="11"/>
      <c r="G302" s="9">
        <f t="shared" si="49"/>
        <v>0</v>
      </c>
      <c r="H302" s="9">
        <f t="shared" si="50"/>
        <v>0</v>
      </c>
      <c r="I302" s="11">
        <v>18803.63</v>
      </c>
      <c r="K302" s="88">
        <v>4760</v>
      </c>
    </row>
    <row r="303" spans="1:12" x14ac:dyDescent="0.2">
      <c r="A303" s="48" t="s">
        <v>488</v>
      </c>
      <c r="B303" s="157" t="s">
        <v>489</v>
      </c>
      <c r="C303" s="163" t="s">
        <v>80</v>
      </c>
      <c r="D303" s="11"/>
      <c r="E303" s="9">
        <f t="shared" si="51"/>
        <v>0</v>
      </c>
      <c r="F303" s="11"/>
      <c r="G303" s="9">
        <f t="shared" si="49"/>
        <v>0</v>
      </c>
      <c r="H303" s="9">
        <f t="shared" si="50"/>
        <v>0</v>
      </c>
      <c r="I303" s="11"/>
      <c r="L303" s="158">
        <v>7240.76</v>
      </c>
    </row>
    <row r="304" spans="1:12" x14ac:dyDescent="0.2">
      <c r="A304" s="48" t="s">
        <v>488</v>
      </c>
      <c r="B304" s="49" t="s">
        <v>490</v>
      </c>
      <c r="C304" s="163" t="s">
        <v>485</v>
      </c>
      <c r="D304" s="11"/>
      <c r="E304" s="9">
        <f t="shared" si="51"/>
        <v>0</v>
      </c>
      <c r="F304" s="11">
        <v>6129.75</v>
      </c>
      <c r="G304" s="9">
        <f t="shared" si="49"/>
        <v>0</v>
      </c>
      <c r="H304" s="9">
        <f t="shared" si="50"/>
        <v>0</v>
      </c>
      <c r="I304" s="11"/>
      <c r="J304" s="87" t="s">
        <v>86</v>
      </c>
      <c r="K304" s="88">
        <v>6812</v>
      </c>
    </row>
    <row r="305" spans="1:12" x14ac:dyDescent="0.2">
      <c r="A305" s="48" t="s">
        <v>488</v>
      </c>
      <c r="B305" s="157" t="s">
        <v>491</v>
      </c>
      <c r="C305" s="163" t="s">
        <v>80</v>
      </c>
      <c r="D305" s="11"/>
      <c r="E305" s="9">
        <f t="shared" si="51"/>
        <v>0</v>
      </c>
      <c r="F305" s="11"/>
      <c r="G305" s="9">
        <f t="shared" si="49"/>
        <v>0</v>
      </c>
      <c r="H305" s="9">
        <f t="shared" si="50"/>
        <v>0</v>
      </c>
      <c r="I305" s="11"/>
      <c r="L305" s="158">
        <v>707.28</v>
      </c>
    </row>
    <row r="306" spans="1:12" x14ac:dyDescent="0.2">
      <c r="A306" s="48">
        <v>44013</v>
      </c>
      <c r="B306" s="157" t="s">
        <v>538</v>
      </c>
      <c r="D306" s="11"/>
      <c r="E306" s="9">
        <f t="shared" si="51"/>
        <v>0</v>
      </c>
      <c r="F306" s="11"/>
      <c r="G306" s="9">
        <f t="shared" si="49"/>
        <v>0</v>
      </c>
      <c r="H306" s="9">
        <f t="shared" si="50"/>
        <v>0</v>
      </c>
      <c r="I306" s="11">
        <v>103420.11</v>
      </c>
      <c r="L306" s="158"/>
    </row>
    <row r="307" spans="1:12" x14ac:dyDescent="0.2">
      <c r="D307" s="11"/>
      <c r="E307" s="9">
        <f t="shared" si="51"/>
        <v>0</v>
      </c>
      <c r="F307" s="11"/>
      <c r="G307" s="9">
        <f t="shared" ref="G307:G371" si="52">IF(J307&gt;0,0,F307)</f>
        <v>0</v>
      </c>
      <c r="H307" s="9">
        <f t="shared" ref="H307:H371" si="53">+D307</f>
        <v>0</v>
      </c>
      <c r="I307" s="11"/>
      <c r="L307" s="158"/>
    </row>
    <row r="308" spans="1:12" x14ac:dyDescent="0.2">
      <c r="A308" s="164" t="s">
        <v>492</v>
      </c>
      <c r="D308" s="11"/>
      <c r="E308" s="9">
        <f t="shared" si="51"/>
        <v>0</v>
      </c>
      <c r="F308" s="11"/>
      <c r="G308" s="9">
        <f t="shared" si="52"/>
        <v>0</v>
      </c>
      <c r="H308" s="9">
        <f t="shared" si="53"/>
        <v>0</v>
      </c>
      <c r="I308" s="11"/>
      <c r="L308" s="158"/>
    </row>
    <row r="309" spans="1:12" x14ac:dyDescent="0.2">
      <c r="A309" s="48">
        <v>44428</v>
      </c>
      <c r="B309" s="49" t="s">
        <v>493</v>
      </c>
      <c r="C309" s="163" t="s">
        <v>200</v>
      </c>
      <c r="D309" s="11"/>
      <c r="E309" s="9">
        <f t="shared" si="51"/>
        <v>0</v>
      </c>
      <c r="F309" s="11">
        <v>1930.91</v>
      </c>
      <c r="G309" s="9">
        <f t="shared" si="52"/>
        <v>0</v>
      </c>
      <c r="H309" s="9">
        <f t="shared" si="53"/>
        <v>0</v>
      </c>
      <c r="I309" s="11"/>
      <c r="J309" s="87" t="s">
        <v>70</v>
      </c>
      <c r="K309" s="88">
        <v>6812</v>
      </c>
      <c r="L309" s="158"/>
    </row>
    <row r="310" spans="1:12" x14ac:dyDescent="0.2">
      <c r="A310" s="48">
        <v>44420</v>
      </c>
      <c r="B310" s="157" t="s">
        <v>494</v>
      </c>
      <c r="C310" s="163" t="s">
        <v>80</v>
      </c>
      <c r="D310" s="11"/>
      <c r="E310" s="9">
        <f t="shared" si="51"/>
        <v>0</v>
      </c>
      <c r="F310" s="11"/>
      <c r="G310" s="9">
        <f t="shared" si="52"/>
        <v>0</v>
      </c>
      <c r="H310" s="9">
        <f t="shared" si="53"/>
        <v>0</v>
      </c>
      <c r="I310" s="11">
        <v>707.28</v>
      </c>
      <c r="K310" s="88">
        <v>4760</v>
      </c>
      <c r="L310" s="158"/>
    </row>
    <row r="311" spans="1:12" x14ac:dyDescent="0.2">
      <c r="A311" s="48">
        <v>44410</v>
      </c>
      <c r="B311" s="157" t="s">
        <v>495</v>
      </c>
      <c r="C311" s="163" t="s">
        <v>80</v>
      </c>
      <c r="D311" s="11"/>
      <c r="E311" s="9">
        <f t="shared" si="51"/>
        <v>0</v>
      </c>
      <c r="F311" s="11"/>
      <c r="G311" s="9">
        <f t="shared" si="52"/>
        <v>0</v>
      </c>
      <c r="H311" s="9">
        <f t="shared" si="53"/>
        <v>0</v>
      </c>
      <c r="I311" s="11">
        <v>7240.76</v>
      </c>
      <c r="K311" s="88">
        <v>4760</v>
      </c>
      <c r="L311" s="158"/>
    </row>
    <row r="312" spans="1:12" x14ac:dyDescent="0.2">
      <c r="A312" s="48">
        <v>44440</v>
      </c>
      <c r="B312" s="49" t="s">
        <v>496</v>
      </c>
      <c r="C312" s="163" t="s">
        <v>200</v>
      </c>
      <c r="D312" s="11"/>
      <c r="E312" s="9">
        <f t="shared" si="51"/>
        <v>0</v>
      </c>
      <c r="F312" s="11">
        <v>16435.45</v>
      </c>
      <c r="G312" s="9">
        <f t="shared" si="52"/>
        <v>0</v>
      </c>
      <c r="H312" s="9">
        <f t="shared" si="53"/>
        <v>0</v>
      </c>
      <c r="I312" s="11"/>
      <c r="J312" s="87" t="s">
        <v>86</v>
      </c>
      <c r="K312" s="88">
        <v>6812</v>
      </c>
      <c r="L312" s="158"/>
    </row>
    <row r="313" spans="1:12" x14ac:dyDescent="0.2">
      <c r="A313" s="48">
        <v>44449</v>
      </c>
      <c r="B313" s="49" t="s">
        <v>497</v>
      </c>
      <c r="C313" s="163" t="s">
        <v>200</v>
      </c>
      <c r="D313" s="11"/>
      <c r="E313" s="9">
        <f t="shared" si="51"/>
        <v>0</v>
      </c>
      <c r="F313" s="11">
        <v>1248.72</v>
      </c>
      <c r="G313" s="9">
        <f t="shared" si="52"/>
        <v>0</v>
      </c>
      <c r="H313" s="9">
        <f t="shared" si="53"/>
        <v>0</v>
      </c>
      <c r="I313" s="11"/>
      <c r="J313" s="87" t="s">
        <v>70</v>
      </c>
      <c r="K313" s="88">
        <v>6812</v>
      </c>
      <c r="L313" s="158"/>
    </row>
    <row r="314" spans="1:12" x14ac:dyDescent="0.2">
      <c r="A314" s="48">
        <v>44449</v>
      </c>
      <c r="B314" s="49" t="s">
        <v>498</v>
      </c>
      <c r="C314" s="163" t="s">
        <v>200</v>
      </c>
      <c r="D314" s="11"/>
      <c r="E314" s="9">
        <f t="shared" si="51"/>
        <v>0</v>
      </c>
      <c r="F314" s="11">
        <v>23725.65</v>
      </c>
      <c r="G314" s="9">
        <f t="shared" si="52"/>
        <v>0</v>
      </c>
      <c r="H314" s="9">
        <f t="shared" si="53"/>
        <v>0</v>
      </c>
      <c r="I314" s="11"/>
      <c r="J314" s="87" t="s">
        <v>70</v>
      </c>
      <c r="K314" s="88">
        <v>6812</v>
      </c>
    </row>
    <row r="315" spans="1:12" x14ac:dyDescent="0.2">
      <c r="A315" s="48">
        <v>44453</v>
      </c>
      <c r="B315" s="157" t="s">
        <v>507</v>
      </c>
      <c r="C315" s="163" t="s">
        <v>80</v>
      </c>
      <c r="D315" s="11"/>
      <c r="E315" s="9">
        <f t="shared" si="51"/>
        <v>0</v>
      </c>
      <c r="F315" s="11"/>
      <c r="G315" s="9">
        <f t="shared" si="52"/>
        <v>0</v>
      </c>
      <c r="H315" s="9">
        <f t="shared" si="53"/>
        <v>0</v>
      </c>
      <c r="I315" s="11"/>
      <c r="L315" s="158">
        <v>5000.8500000000004</v>
      </c>
    </row>
    <row r="316" spans="1:12" x14ac:dyDescent="0.2">
      <c r="A316" s="48">
        <v>44489</v>
      </c>
      <c r="B316" s="49" t="s">
        <v>504</v>
      </c>
      <c r="C316" s="163" t="s">
        <v>119</v>
      </c>
      <c r="D316" s="11"/>
      <c r="E316" s="9">
        <f t="shared" si="51"/>
        <v>0</v>
      </c>
      <c r="F316" s="11"/>
      <c r="G316" s="9">
        <v>49272.5</v>
      </c>
      <c r="H316" s="9">
        <f t="shared" si="53"/>
        <v>0</v>
      </c>
      <c r="I316" s="11"/>
      <c r="J316" s="87" t="s">
        <v>70</v>
      </c>
      <c r="L316" s="158"/>
    </row>
    <row r="317" spans="1:12" x14ac:dyDescent="0.2">
      <c r="A317" s="48">
        <v>44489</v>
      </c>
      <c r="B317" s="49" t="s">
        <v>505</v>
      </c>
      <c r="C317" s="163" t="s">
        <v>119</v>
      </c>
      <c r="D317" s="11"/>
      <c r="E317" s="9">
        <f t="shared" si="51"/>
        <v>0</v>
      </c>
      <c r="F317" s="11"/>
      <c r="G317" s="9">
        <v>10780</v>
      </c>
      <c r="H317" s="9">
        <f t="shared" si="53"/>
        <v>0</v>
      </c>
      <c r="I317" s="11"/>
      <c r="J317" s="87" t="s">
        <v>70</v>
      </c>
    </row>
    <row r="318" spans="1:12" x14ac:dyDescent="0.2">
      <c r="A318" s="48">
        <v>44494</v>
      </c>
      <c r="B318" s="157" t="s">
        <v>506</v>
      </c>
      <c r="C318" s="163" t="s">
        <v>80</v>
      </c>
      <c r="D318" s="11"/>
      <c r="E318" s="9">
        <f t="shared" si="51"/>
        <v>0</v>
      </c>
      <c r="F318" s="11"/>
      <c r="G318" s="9"/>
      <c r="H318" s="9">
        <f t="shared" si="53"/>
        <v>0</v>
      </c>
      <c r="I318" s="11">
        <v>5000.8500000000004</v>
      </c>
      <c r="K318" s="88">
        <v>4760</v>
      </c>
      <c r="L318" s="158"/>
    </row>
    <row r="319" spans="1:12" x14ac:dyDescent="0.2">
      <c r="A319" s="48">
        <v>44503</v>
      </c>
      <c r="B319" s="49" t="s">
        <v>508</v>
      </c>
      <c r="C319" s="163" t="s">
        <v>200</v>
      </c>
      <c r="D319" s="11"/>
      <c r="E319" s="9">
        <f t="shared" si="51"/>
        <v>0</v>
      </c>
      <c r="F319" s="11">
        <v>2696.87</v>
      </c>
      <c r="G319" s="9">
        <f t="shared" si="52"/>
        <v>0</v>
      </c>
      <c r="H319" s="9">
        <f t="shared" si="53"/>
        <v>0</v>
      </c>
      <c r="I319" s="11"/>
      <c r="J319" s="87" t="s">
        <v>86</v>
      </c>
      <c r="K319" s="88">
        <v>6812</v>
      </c>
      <c r="L319" s="158"/>
    </row>
    <row r="320" spans="1:12" x14ac:dyDescent="0.2">
      <c r="A320" s="48">
        <v>44550</v>
      </c>
      <c r="B320" s="157" t="s">
        <v>510</v>
      </c>
      <c r="C320" s="163" t="s">
        <v>80</v>
      </c>
      <c r="D320" s="11"/>
      <c r="E320" s="9">
        <f t="shared" si="51"/>
        <v>0</v>
      </c>
      <c r="F320" s="11"/>
      <c r="G320" s="9">
        <f t="shared" si="52"/>
        <v>0</v>
      </c>
      <c r="H320" s="9">
        <f t="shared" si="53"/>
        <v>0</v>
      </c>
      <c r="I320" s="11"/>
      <c r="L320" s="158">
        <v>311.18</v>
      </c>
    </row>
    <row r="321" spans="1:12" x14ac:dyDescent="0.2">
      <c r="A321" s="48">
        <v>44551</v>
      </c>
      <c r="B321" s="49" t="s">
        <v>509</v>
      </c>
      <c r="C321" s="163" t="s">
        <v>200</v>
      </c>
      <c r="D321" s="11"/>
      <c r="E321" s="9">
        <f t="shared" si="51"/>
        <v>0</v>
      </c>
      <c r="F321" s="11">
        <v>2505.83</v>
      </c>
      <c r="G321" s="9">
        <f t="shared" si="52"/>
        <v>0</v>
      </c>
      <c r="H321" s="9">
        <f t="shared" si="53"/>
        <v>0</v>
      </c>
      <c r="I321" s="11"/>
      <c r="J321" s="87" t="s">
        <v>86</v>
      </c>
      <c r="K321" s="88">
        <v>6812</v>
      </c>
    </row>
    <row r="322" spans="1:12" x14ac:dyDescent="0.2">
      <c r="A322" s="48">
        <v>44579</v>
      </c>
      <c r="B322" s="157" t="s">
        <v>513</v>
      </c>
      <c r="C322" s="163" t="s">
        <v>80</v>
      </c>
      <c r="D322" s="11"/>
      <c r="E322" s="9">
        <f t="shared" si="51"/>
        <v>0</v>
      </c>
      <c r="F322" s="11"/>
      <c r="G322" s="9">
        <f t="shared" si="52"/>
        <v>0</v>
      </c>
      <c r="H322" s="9">
        <f t="shared" si="53"/>
        <v>0</v>
      </c>
      <c r="I322" s="11"/>
      <c r="L322" s="158">
        <v>289.13</v>
      </c>
    </row>
    <row r="323" spans="1:12" x14ac:dyDescent="0.2">
      <c r="A323" s="48">
        <v>44588</v>
      </c>
      <c r="B323" s="157" t="s">
        <v>511</v>
      </c>
      <c r="C323" s="163" t="s">
        <v>80</v>
      </c>
      <c r="D323" s="11"/>
      <c r="E323" s="9">
        <f t="shared" si="51"/>
        <v>0</v>
      </c>
      <c r="F323" s="11"/>
      <c r="G323" s="9">
        <f t="shared" si="52"/>
        <v>0</v>
      </c>
      <c r="H323" s="9">
        <f t="shared" si="53"/>
        <v>0</v>
      </c>
      <c r="I323" s="11">
        <v>311.18</v>
      </c>
      <c r="K323" s="88">
        <v>4760</v>
      </c>
      <c r="L323" s="158"/>
    </row>
    <row r="324" spans="1:12" x14ac:dyDescent="0.2">
      <c r="A324" s="48">
        <v>44617</v>
      </c>
      <c r="B324" s="49" t="s">
        <v>512</v>
      </c>
      <c r="C324" s="163" t="s">
        <v>200</v>
      </c>
      <c r="D324" s="11"/>
      <c r="E324" s="9">
        <f t="shared" si="51"/>
        <v>0</v>
      </c>
      <c r="F324" s="11">
        <v>634</v>
      </c>
      <c r="G324" s="9">
        <f t="shared" si="52"/>
        <v>0</v>
      </c>
      <c r="H324" s="9">
        <f t="shared" si="53"/>
        <v>0</v>
      </c>
      <c r="I324" s="11"/>
      <c r="J324" s="87" t="s">
        <v>86</v>
      </c>
      <c r="K324" s="88">
        <v>6812</v>
      </c>
      <c r="L324" s="158"/>
    </row>
    <row r="325" spans="1:12" x14ac:dyDescent="0.2">
      <c r="A325" s="48">
        <v>44617</v>
      </c>
      <c r="B325" s="157" t="s">
        <v>514</v>
      </c>
      <c r="C325" s="163" t="s">
        <v>80</v>
      </c>
      <c r="D325" s="11"/>
      <c r="E325" s="9">
        <f t="shared" si="51"/>
        <v>0</v>
      </c>
      <c r="F325" s="11"/>
      <c r="G325" s="9">
        <f t="shared" si="52"/>
        <v>0</v>
      </c>
      <c r="H325" s="9">
        <f t="shared" si="53"/>
        <v>0</v>
      </c>
      <c r="I325" s="11">
        <v>289.13</v>
      </c>
      <c r="K325" s="88">
        <v>4760</v>
      </c>
    </row>
    <row r="326" spans="1:12" x14ac:dyDescent="0.2">
      <c r="A326" s="48">
        <v>44631</v>
      </c>
      <c r="B326" s="157" t="s">
        <v>515</v>
      </c>
      <c r="C326" s="163" t="s">
        <v>80</v>
      </c>
      <c r="D326" s="11"/>
      <c r="E326" s="9">
        <f t="shared" si="51"/>
        <v>0</v>
      </c>
      <c r="F326" s="11"/>
      <c r="G326" s="9">
        <f t="shared" si="52"/>
        <v>0</v>
      </c>
      <c r="H326" s="9">
        <f t="shared" si="53"/>
        <v>0</v>
      </c>
      <c r="I326" s="11"/>
      <c r="L326" s="158">
        <v>73.16</v>
      </c>
    </row>
    <row r="327" spans="1:12" x14ac:dyDescent="0.2">
      <c r="A327" s="48">
        <v>44662</v>
      </c>
      <c r="B327" s="49" t="s">
        <v>516</v>
      </c>
      <c r="C327" s="163" t="s">
        <v>200</v>
      </c>
      <c r="D327" s="11"/>
      <c r="E327" s="9">
        <f t="shared" si="51"/>
        <v>0</v>
      </c>
      <c r="F327" s="11">
        <v>68449.23</v>
      </c>
      <c r="G327" s="9">
        <f t="shared" si="52"/>
        <v>0</v>
      </c>
      <c r="H327" s="9">
        <f t="shared" si="53"/>
        <v>0</v>
      </c>
      <c r="I327" s="11"/>
      <c r="J327" s="87" t="s">
        <v>70</v>
      </c>
      <c r="K327" s="88">
        <v>6812</v>
      </c>
      <c r="L327" s="158"/>
    </row>
    <row r="328" spans="1:12" x14ac:dyDescent="0.2">
      <c r="A328" s="48">
        <v>44662</v>
      </c>
      <c r="B328" s="49" t="s">
        <v>517</v>
      </c>
      <c r="C328" s="163" t="s">
        <v>200</v>
      </c>
      <c r="D328" s="11"/>
      <c r="E328" s="9">
        <f t="shared" si="51"/>
        <v>0</v>
      </c>
      <c r="F328" s="11">
        <v>3602.6</v>
      </c>
      <c r="G328" s="9">
        <f t="shared" si="52"/>
        <v>0</v>
      </c>
      <c r="H328" s="9">
        <f t="shared" si="53"/>
        <v>0</v>
      </c>
      <c r="I328" s="11"/>
      <c r="J328" s="87" t="s">
        <v>70</v>
      </c>
      <c r="K328" s="88">
        <v>6812</v>
      </c>
      <c r="L328" s="158"/>
    </row>
    <row r="329" spans="1:12" x14ac:dyDescent="0.2">
      <c r="A329" s="48">
        <v>44673</v>
      </c>
      <c r="B329" s="49" t="s">
        <v>518</v>
      </c>
      <c r="C329" s="163" t="s">
        <v>200</v>
      </c>
      <c r="D329" s="11"/>
      <c r="E329" s="9">
        <f t="shared" si="51"/>
        <v>0</v>
      </c>
      <c r="F329" s="11">
        <v>3095.76</v>
      </c>
      <c r="G329" s="9">
        <f t="shared" si="52"/>
        <v>0</v>
      </c>
      <c r="H329" s="9">
        <f t="shared" si="53"/>
        <v>0</v>
      </c>
      <c r="I329" s="11"/>
      <c r="J329" s="87" t="s">
        <v>86</v>
      </c>
      <c r="K329" s="88">
        <v>6812</v>
      </c>
    </row>
    <row r="330" spans="1:12" x14ac:dyDescent="0.2">
      <c r="A330" s="48">
        <v>44691</v>
      </c>
      <c r="B330" s="157" t="s">
        <v>519</v>
      </c>
      <c r="C330" s="163" t="s">
        <v>80</v>
      </c>
      <c r="D330" s="11"/>
      <c r="E330" s="9">
        <f t="shared" si="51"/>
        <v>0</v>
      </c>
      <c r="F330" s="11"/>
      <c r="G330" s="9">
        <f t="shared" si="52"/>
        <v>0</v>
      </c>
      <c r="H330" s="9">
        <f t="shared" si="53"/>
        <v>0</v>
      </c>
      <c r="I330" s="11"/>
      <c r="L330" s="158">
        <v>8670.8700000000008</v>
      </c>
    </row>
    <row r="331" spans="1:12" x14ac:dyDescent="0.2">
      <c r="A331" s="48">
        <v>44693</v>
      </c>
      <c r="B331" s="157" t="s">
        <v>520</v>
      </c>
      <c r="C331" s="163" t="s">
        <v>80</v>
      </c>
      <c r="D331" s="11"/>
      <c r="E331" s="9">
        <f t="shared" si="51"/>
        <v>0</v>
      </c>
      <c r="F331" s="11"/>
      <c r="G331" s="9">
        <f t="shared" si="52"/>
        <v>0</v>
      </c>
      <c r="H331" s="9">
        <f t="shared" si="53"/>
        <v>0</v>
      </c>
      <c r="I331" s="11">
        <v>73.16</v>
      </c>
      <c r="K331" s="88">
        <v>4760</v>
      </c>
      <c r="L331" s="158"/>
    </row>
    <row r="332" spans="1:12" x14ac:dyDescent="0.2">
      <c r="A332" s="48">
        <v>44721</v>
      </c>
      <c r="B332" s="49" t="s">
        <v>521</v>
      </c>
      <c r="C332" s="163" t="s">
        <v>119</v>
      </c>
      <c r="D332" s="11"/>
      <c r="E332" s="9">
        <f t="shared" si="51"/>
        <v>0</v>
      </c>
      <c r="F332" s="11"/>
      <c r="G332" s="9">
        <v>-27187.01</v>
      </c>
      <c r="H332" s="9">
        <f t="shared" si="53"/>
        <v>0</v>
      </c>
      <c r="I332" s="11"/>
      <c r="J332" s="87" t="s">
        <v>70</v>
      </c>
    </row>
    <row r="333" spans="1:12" x14ac:dyDescent="0.2">
      <c r="A333" s="48">
        <v>44735</v>
      </c>
      <c r="B333" s="157" t="s">
        <v>522</v>
      </c>
      <c r="C333" s="163" t="s">
        <v>80</v>
      </c>
      <c r="D333" s="11"/>
      <c r="E333" s="9">
        <f t="shared" si="51"/>
        <v>0</v>
      </c>
      <c r="F333" s="11"/>
      <c r="G333" s="9">
        <f t="shared" si="52"/>
        <v>0</v>
      </c>
      <c r="H333" s="9">
        <f t="shared" si="53"/>
        <v>0</v>
      </c>
      <c r="I333" s="11">
        <v>8670.8700000000008</v>
      </c>
      <c r="K333" s="88">
        <v>4760</v>
      </c>
    </row>
    <row r="334" spans="1:12" x14ac:dyDescent="0.2">
      <c r="A334" s="48" t="s">
        <v>523</v>
      </c>
      <c r="B334" s="49" t="s">
        <v>524</v>
      </c>
      <c r="C334" s="163" t="s">
        <v>485</v>
      </c>
      <c r="D334" s="11"/>
      <c r="E334" s="9">
        <f t="shared" si="51"/>
        <v>0</v>
      </c>
      <c r="F334" s="11">
        <v>2994.71</v>
      </c>
      <c r="G334" s="9">
        <f t="shared" si="52"/>
        <v>0</v>
      </c>
      <c r="H334" s="9">
        <f t="shared" si="53"/>
        <v>0</v>
      </c>
      <c r="I334" s="11"/>
      <c r="J334" s="87" t="s">
        <v>86</v>
      </c>
      <c r="K334" s="88">
        <v>6812</v>
      </c>
    </row>
    <row r="335" spans="1:12" x14ac:dyDescent="0.2">
      <c r="A335" s="48" t="s">
        <v>523</v>
      </c>
      <c r="B335" s="157" t="s">
        <v>528</v>
      </c>
      <c r="C335" s="163" t="s">
        <v>80</v>
      </c>
      <c r="D335" s="11"/>
      <c r="E335" s="9">
        <f t="shared" si="51"/>
        <v>0</v>
      </c>
      <c r="F335" s="11"/>
      <c r="G335" s="9">
        <f t="shared" si="52"/>
        <v>0</v>
      </c>
      <c r="H335" s="9">
        <f t="shared" si="53"/>
        <v>0</v>
      </c>
      <c r="I335" s="11"/>
      <c r="L335" s="51">
        <v>345.55</v>
      </c>
    </row>
    <row r="336" spans="1:12" x14ac:dyDescent="0.2">
      <c r="D336" s="11"/>
      <c r="E336" s="9">
        <f t="shared" si="51"/>
        <v>0</v>
      </c>
      <c r="F336" s="11"/>
      <c r="G336" s="9">
        <f t="shared" si="52"/>
        <v>0</v>
      </c>
      <c r="H336" s="9">
        <f t="shared" si="53"/>
        <v>0</v>
      </c>
      <c r="I336" s="11"/>
      <c r="L336" s="158"/>
    </row>
    <row r="337" spans="1:12" x14ac:dyDescent="0.2">
      <c r="D337" s="11"/>
      <c r="E337" s="9">
        <f t="shared" si="51"/>
        <v>0</v>
      </c>
      <c r="F337" s="11"/>
      <c r="G337" s="9">
        <f t="shared" si="52"/>
        <v>0</v>
      </c>
      <c r="H337" s="9">
        <f t="shared" si="53"/>
        <v>0</v>
      </c>
      <c r="I337" s="11"/>
      <c r="L337" s="158"/>
    </row>
    <row r="338" spans="1:12" x14ac:dyDescent="0.2">
      <c r="A338" s="164" t="s">
        <v>525</v>
      </c>
      <c r="D338" s="11"/>
      <c r="E338" s="9">
        <f t="shared" si="51"/>
        <v>0</v>
      </c>
      <c r="F338" s="11"/>
      <c r="G338" s="9">
        <f t="shared" si="52"/>
        <v>0</v>
      </c>
      <c r="H338" s="9">
        <f t="shared" si="53"/>
        <v>0</v>
      </c>
      <c r="I338" s="11"/>
      <c r="L338" s="158"/>
    </row>
    <row r="339" spans="1:12" x14ac:dyDescent="0.2">
      <c r="A339" s="48">
        <v>44803</v>
      </c>
      <c r="B339" s="49" t="s">
        <v>526</v>
      </c>
      <c r="C339" s="163" t="s">
        <v>200</v>
      </c>
      <c r="D339" s="11"/>
      <c r="E339" s="9">
        <f t="shared" si="51"/>
        <v>0</v>
      </c>
      <c r="F339" s="11">
        <v>168798.49</v>
      </c>
      <c r="G339" s="9">
        <f t="shared" si="52"/>
        <v>0</v>
      </c>
      <c r="H339" s="9">
        <f t="shared" si="53"/>
        <v>0</v>
      </c>
      <c r="I339" s="11"/>
      <c r="J339" s="87" t="s">
        <v>86</v>
      </c>
      <c r="K339" s="88">
        <v>6812</v>
      </c>
      <c r="L339" s="158"/>
    </row>
    <row r="340" spans="1:12" x14ac:dyDescent="0.2">
      <c r="A340" s="48">
        <v>44790</v>
      </c>
      <c r="B340" s="157" t="s">
        <v>527</v>
      </c>
      <c r="C340" s="163" t="s">
        <v>80</v>
      </c>
      <c r="D340" s="11"/>
      <c r="E340" s="9">
        <f t="shared" si="51"/>
        <v>0</v>
      </c>
      <c r="F340" s="11"/>
      <c r="G340" s="9">
        <f t="shared" si="52"/>
        <v>0</v>
      </c>
      <c r="H340" s="9">
        <f t="shared" si="53"/>
        <v>0</v>
      </c>
      <c r="I340" s="11">
        <v>345.55</v>
      </c>
      <c r="K340" s="88">
        <v>4760</v>
      </c>
      <c r="L340" s="158"/>
    </row>
    <row r="341" spans="1:12" x14ac:dyDescent="0.2">
      <c r="A341" s="48">
        <v>44810</v>
      </c>
      <c r="B341" s="49" t="s">
        <v>529</v>
      </c>
      <c r="C341" s="163" t="s">
        <v>200</v>
      </c>
      <c r="D341" s="11"/>
      <c r="E341" s="9">
        <f t="shared" si="51"/>
        <v>0</v>
      </c>
      <c r="F341" s="11">
        <v>90246.44</v>
      </c>
      <c r="G341" s="9">
        <f t="shared" si="52"/>
        <v>0</v>
      </c>
      <c r="H341" s="9">
        <f t="shared" si="53"/>
        <v>0</v>
      </c>
      <c r="I341" s="11"/>
      <c r="J341" s="87" t="s">
        <v>70</v>
      </c>
      <c r="K341" s="88">
        <v>6812</v>
      </c>
      <c r="L341" s="158"/>
    </row>
    <row r="342" spans="1:12" x14ac:dyDescent="0.2">
      <c r="A342" s="48">
        <v>44819</v>
      </c>
      <c r="B342" s="157" t="s">
        <v>531</v>
      </c>
      <c r="C342" s="163" t="s">
        <v>80</v>
      </c>
      <c r="D342" s="11"/>
      <c r="E342" s="9">
        <f t="shared" si="51"/>
        <v>0</v>
      </c>
      <c r="F342" s="11"/>
      <c r="G342" s="9">
        <f t="shared" si="52"/>
        <v>0</v>
      </c>
      <c r="H342" s="9">
        <f t="shared" si="53"/>
        <v>0</v>
      </c>
      <c r="I342" s="11"/>
      <c r="L342" s="158">
        <v>29889.8</v>
      </c>
    </row>
    <row r="343" spans="1:12" x14ac:dyDescent="0.2">
      <c r="A343" s="48">
        <v>44852</v>
      </c>
      <c r="B343" s="49" t="s">
        <v>530</v>
      </c>
      <c r="C343" s="163" t="s">
        <v>200</v>
      </c>
      <c r="D343" s="11"/>
      <c r="E343" s="9">
        <f t="shared" si="51"/>
        <v>0</v>
      </c>
      <c r="F343" s="11">
        <v>58158.42</v>
      </c>
      <c r="G343" s="9">
        <f t="shared" si="52"/>
        <v>0</v>
      </c>
      <c r="H343" s="9">
        <f t="shared" si="53"/>
        <v>0</v>
      </c>
      <c r="J343" s="87" t="s">
        <v>86</v>
      </c>
      <c r="K343" s="88">
        <v>6812</v>
      </c>
    </row>
    <row r="344" spans="1:12" x14ac:dyDescent="0.2">
      <c r="A344" s="48">
        <v>44855</v>
      </c>
      <c r="B344" s="157" t="s">
        <v>532</v>
      </c>
      <c r="C344" s="163" t="s">
        <v>80</v>
      </c>
      <c r="D344" s="11"/>
      <c r="E344" s="9">
        <f t="shared" si="51"/>
        <v>0</v>
      </c>
      <c r="F344" s="11"/>
      <c r="G344" s="9">
        <f t="shared" si="52"/>
        <v>0</v>
      </c>
      <c r="H344" s="9">
        <f t="shared" si="53"/>
        <v>0</v>
      </c>
      <c r="I344" s="11">
        <v>29889.8</v>
      </c>
      <c r="K344" s="88">
        <v>4760</v>
      </c>
      <c r="L344" s="158"/>
    </row>
    <row r="345" spans="1:12" x14ac:dyDescent="0.2">
      <c r="A345" s="48">
        <v>44883</v>
      </c>
      <c r="B345" s="157" t="s">
        <v>534</v>
      </c>
      <c r="C345" s="163" t="s">
        <v>80</v>
      </c>
      <c r="D345" s="11"/>
      <c r="E345" s="9">
        <f t="shared" si="51"/>
        <v>0</v>
      </c>
      <c r="F345" s="11"/>
      <c r="G345" s="9">
        <f t="shared" si="52"/>
        <v>0</v>
      </c>
      <c r="H345" s="9">
        <f t="shared" si="53"/>
        <v>0</v>
      </c>
      <c r="I345" s="11"/>
      <c r="L345" s="158">
        <v>6710.58</v>
      </c>
    </row>
    <row r="346" spans="1:12" x14ac:dyDescent="0.2">
      <c r="A346" s="48">
        <v>44902</v>
      </c>
      <c r="B346" s="49" t="s">
        <v>533</v>
      </c>
      <c r="C346" s="163" t="s">
        <v>119</v>
      </c>
      <c r="D346" s="11"/>
      <c r="E346" s="9">
        <f t="shared" si="51"/>
        <v>0</v>
      </c>
      <c r="F346" s="11"/>
      <c r="G346" s="9">
        <v>7147.6</v>
      </c>
      <c r="H346" s="9">
        <f t="shared" si="53"/>
        <v>0</v>
      </c>
      <c r="I346" s="11"/>
      <c r="J346" s="87" t="s">
        <v>84</v>
      </c>
      <c r="L346" s="158"/>
    </row>
    <row r="347" spans="1:12" x14ac:dyDescent="0.2">
      <c r="A347" s="48">
        <v>44904</v>
      </c>
      <c r="B347" s="49" t="s">
        <v>535</v>
      </c>
      <c r="C347" s="163" t="s">
        <v>485</v>
      </c>
      <c r="D347" s="11"/>
      <c r="E347" s="9">
        <f t="shared" si="51"/>
        <v>0</v>
      </c>
      <c r="F347" s="11">
        <v>36013.85</v>
      </c>
      <c r="G347" s="9">
        <f t="shared" si="52"/>
        <v>0</v>
      </c>
      <c r="H347" s="9">
        <f t="shared" si="53"/>
        <v>0</v>
      </c>
      <c r="I347" s="11"/>
      <c r="J347" s="87" t="s">
        <v>86</v>
      </c>
      <c r="K347" s="88">
        <v>6812</v>
      </c>
      <c r="L347" s="158"/>
    </row>
    <row r="348" spans="1:12" x14ac:dyDescent="0.2">
      <c r="A348" s="48">
        <v>44908</v>
      </c>
      <c r="B348" s="49" t="s">
        <v>536</v>
      </c>
      <c r="C348" s="163" t="s">
        <v>485</v>
      </c>
      <c r="D348" s="11"/>
      <c r="E348" s="9">
        <f t="shared" si="51"/>
        <v>0</v>
      </c>
      <c r="F348" s="11">
        <v>9564.3799999999992</v>
      </c>
      <c r="G348" s="9">
        <f t="shared" si="52"/>
        <v>0</v>
      </c>
      <c r="H348" s="9">
        <f t="shared" si="53"/>
        <v>0</v>
      </c>
      <c r="I348" s="11"/>
      <c r="J348" s="87" t="s">
        <v>84</v>
      </c>
      <c r="K348" s="88">
        <v>6861</v>
      </c>
      <c r="L348" s="162" t="s">
        <v>131</v>
      </c>
    </row>
    <row r="349" spans="1:12" x14ac:dyDescent="0.2">
      <c r="A349" s="48">
        <v>44911</v>
      </c>
      <c r="B349" s="157" t="s">
        <v>537</v>
      </c>
      <c r="C349" s="163" t="s">
        <v>80</v>
      </c>
      <c r="D349" s="11"/>
      <c r="E349" s="9">
        <f t="shared" si="51"/>
        <v>0</v>
      </c>
      <c r="F349" s="11"/>
      <c r="G349" s="9">
        <f t="shared" si="52"/>
        <v>0</v>
      </c>
      <c r="H349" s="9">
        <f t="shared" si="53"/>
        <v>0</v>
      </c>
      <c r="I349" s="11"/>
      <c r="L349" s="158">
        <v>5259.03</v>
      </c>
    </row>
    <row r="350" spans="1:12" x14ac:dyDescent="0.2">
      <c r="A350" s="48">
        <v>44967</v>
      </c>
      <c r="B350" s="49" t="s">
        <v>539</v>
      </c>
      <c r="C350" s="50" t="s">
        <v>200</v>
      </c>
      <c r="D350" s="11"/>
      <c r="E350" s="9">
        <f t="shared" si="51"/>
        <v>0</v>
      </c>
      <c r="F350" s="11">
        <v>1146.3699999999999</v>
      </c>
      <c r="G350" s="9">
        <f t="shared" si="52"/>
        <v>0</v>
      </c>
      <c r="H350" s="9">
        <f t="shared" si="53"/>
        <v>0</v>
      </c>
      <c r="I350" s="11"/>
      <c r="J350" s="87" t="s">
        <v>86</v>
      </c>
      <c r="K350" s="88">
        <v>6812</v>
      </c>
      <c r="L350" s="158"/>
    </row>
    <row r="351" spans="1:12" x14ac:dyDescent="0.2">
      <c r="A351" s="48">
        <v>44970</v>
      </c>
      <c r="B351" s="49" t="s">
        <v>540</v>
      </c>
      <c r="C351" s="50" t="s">
        <v>200</v>
      </c>
      <c r="D351" s="11"/>
      <c r="E351" s="9">
        <f t="shared" si="51"/>
        <v>0</v>
      </c>
      <c r="F351" s="11">
        <v>27992.42</v>
      </c>
      <c r="G351" s="9">
        <f t="shared" si="52"/>
        <v>0</v>
      </c>
      <c r="H351" s="9">
        <f t="shared" si="53"/>
        <v>0</v>
      </c>
      <c r="I351" s="11"/>
      <c r="J351" s="87" t="s">
        <v>86</v>
      </c>
      <c r="K351" s="88">
        <v>6812</v>
      </c>
      <c r="L351" s="158"/>
    </row>
    <row r="352" spans="1:12" x14ac:dyDescent="0.2">
      <c r="A352" s="48">
        <v>44985</v>
      </c>
      <c r="B352" s="157" t="s">
        <v>543</v>
      </c>
      <c r="D352" s="11"/>
      <c r="E352" s="9">
        <f t="shared" si="51"/>
        <v>0</v>
      </c>
      <c r="F352" s="11"/>
      <c r="G352" s="9">
        <f t="shared" si="52"/>
        <v>0</v>
      </c>
      <c r="H352" s="9">
        <f t="shared" si="53"/>
        <v>0</v>
      </c>
      <c r="I352" s="11"/>
      <c r="L352" s="158">
        <v>3362.17</v>
      </c>
    </row>
    <row r="353" spans="1:12" x14ac:dyDescent="0.2">
      <c r="A353" s="48">
        <v>44950</v>
      </c>
      <c r="B353" s="157" t="s">
        <v>541</v>
      </c>
      <c r="C353" s="50" t="s">
        <v>80</v>
      </c>
      <c r="D353" s="11"/>
      <c r="E353" s="9">
        <f t="shared" si="51"/>
        <v>0</v>
      </c>
      <c r="F353" s="11"/>
      <c r="G353" s="9">
        <f t="shared" si="52"/>
        <v>0</v>
      </c>
      <c r="H353" s="9">
        <f t="shared" si="53"/>
        <v>0</v>
      </c>
      <c r="I353" s="11">
        <v>5259.03</v>
      </c>
      <c r="K353" s="88">
        <v>4760</v>
      </c>
      <c r="L353" s="158"/>
    </row>
    <row r="354" spans="1:12" x14ac:dyDescent="0.2">
      <c r="A354" s="48">
        <v>44957</v>
      </c>
      <c r="B354" s="157" t="s">
        <v>542</v>
      </c>
      <c r="C354" s="50" t="s">
        <v>80</v>
      </c>
      <c r="D354" s="11"/>
      <c r="E354" s="9">
        <f t="shared" si="51"/>
        <v>0</v>
      </c>
      <c r="F354" s="11"/>
      <c r="G354" s="9">
        <f t="shared" si="52"/>
        <v>0</v>
      </c>
      <c r="H354" s="9">
        <f t="shared" si="53"/>
        <v>0</v>
      </c>
      <c r="I354" s="11">
        <v>6710.58</v>
      </c>
      <c r="K354" s="88">
        <v>4760</v>
      </c>
      <c r="L354" s="158"/>
    </row>
    <row r="355" spans="1:12" x14ac:dyDescent="0.2">
      <c r="A355" s="48">
        <v>45026</v>
      </c>
      <c r="B355" s="157" t="s">
        <v>544</v>
      </c>
      <c r="C355" s="50" t="s">
        <v>80</v>
      </c>
      <c r="D355" s="11"/>
      <c r="E355" s="9">
        <f t="shared" si="51"/>
        <v>0</v>
      </c>
      <c r="F355" s="11"/>
      <c r="G355" s="9">
        <f t="shared" si="52"/>
        <v>0</v>
      </c>
      <c r="H355" s="9">
        <f t="shared" si="53"/>
        <v>0</v>
      </c>
      <c r="I355" s="11">
        <v>3362.17</v>
      </c>
      <c r="K355" s="88">
        <v>4760</v>
      </c>
      <c r="L355" s="158"/>
    </row>
    <row r="356" spans="1:12" x14ac:dyDescent="0.2">
      <c r="A356" s="48">
        <v>45083</v>
      </c>
      <c r="B356" s="49" t="s">
        <v>545</v>
      </c>
      <c r="C356" s="50" t="s">
        <v>200</v>
      </c>
      <c r="D356" s="11"/>
      <c r="E356" s="9">
        <f t="shared" si="51"/>
        <v>0</v>
      </c>
      <c r="F356" s="11">
        <v>15288.66</v>
      </c>
      <c r="G356" s="9">
        <f t="shared" si="52"/>
        <v>0</v>
      </c>
      <c r="H356" s="9">
        <f t="shared" si="53"/>
        <v>0</v>
      </c>
      <c r="I356" s="11"/>
      <c r="J356" s="87" t="s">
        <v>86</v>
      </c>
      <c r="K356" s="88">
        <v>6812</v>
      </c>
      <c r="L356" s="158"/>
    </row>
    <row r="357" spans="1:12" x14ac:dyDescent="0.2">
      <c r="A357" s="48">
        <v>45092</v>
      </c>
      <c r="B357" s="157" t="s">
        <v>546</v>
      </c>
      <c r="C357" s="50" t="s">
        <v>80</v>
      </c>
      <c r="D357" s="11"/>
      <c r="E357" s="9">
        <f t="shared" si="51"/>
        <v>0</v>
      </c>
      <c r="F357" s="11"/>
      <c r="G357" s="9">
        <f t="shared" si="52"/>
        <v>0</v>
      </c>
      <c r="H357" s="9">
        <f t="shared" si="53"/>
        <v>0</v>
      </c>
      <c r="I357" s="11"/>
      <c r="L357" s="158">
        <v>1764.07</v>
      </c>
    </row>
    <row r="358" spans="1:12" x14ac:dyDescent="0.2">
      <c r="A358" s="48" t="s">
        <v>547</v>
      </c>
      <c r="B358" s="49" t="s">
        <v>548</v>
      </c>
      <c r="D358" s="11"/>
      <c r="E358" s="9">
        <f t="shared" si="51"/>
        <v>0</v>
      </c>
      <c r="F358" s="11">
        <v>21051.360000000001</v>
      </c>
      <c r="G358" s="9">
        <f t="shared" si="52"/>
        <v>0</v>
      </c>
      <c r="H358" s="9">
        <f t="shared" si="53"/>
        <v>0</v>
      </c>
      <c r="I358" s="11"/>
      <c r="J358" s="87" t="s">
        <v>86</v>
      </c>
      <c r="K358" s="88">
        <v>6813</v>
      </c>
      <c r="L358" s="158"/>
    </row>
    <row r="359" spans="1:12" x14ac:dyDescent="0.2">
      <c r="A359" s="48" t="s">
        <v>547</v>
      </c>
      <c r="B359" s="157" t="s">
        <v>554</v>
      </c>
      <c r="C359" s="50" t="s">
        <v>80</v>
      </c>
      <c r="D359" s="11"/>
      <c r="E359" s="9">
        <f t="shared" si="51"/>
        <v>0</v>
      </c>
      <c r="F359" s="11"/>
      <c r="G359" s="9">
        <f t="shared" si="52"/>
        <v>0</v>
      </c>
      <c r="H359" s="9">
        <f t="shared" si="53"/>
        <v>0</v>
      </c>
      <c r="I359" s="11"/>
      <c r="L359" s="158">
        <v>2429.0100000000002</v>
      </c>
    </row>
    <row r="360" spans="1:12" x14ac:dyDescent="0.2">
      <c r="D360" s="11"/>
      <c r="E360" s="9">
        <f t="shared" si="51"/>
        <v>0</v>
      </c>
      <c r="F360" s="11"/>
      <c r="G360" s="9">
        <f t="shared" si="52"/>
        <v>0</v>
      </c>
      <c r="H360" s="9">
        <f t="shared" si="53"/>
        <v>0</v>
      </c>
      <c r="I360" s="11"/>
      <c r="L360" s="158"/>
    </row>
    <row r="361" spans="1:12" x14ac:dyDescent="0.2">
      <c r="D361" s="11"/>
      <c r="E361" s="9">
        <f t="shared" ref="E361:E425" si="54">+D361</f>
        <v>0</v>
      </c>
      <c r="F361" s="11"/>
      <c r="G361" s="9">
        <f t="shared" si="52"/>
        <v>0</v>
      </c>
      <c r="H361" s="9">
        <f t="shared" si="53"/>
        <v>0</v>
      </c>
      <c r="I361" s="11"/>
      <c r="L361" s="158"/>
    </row>
    <row r="362" spans="1:12" x14ac:dyDescent="0.2">
      <c r="A362" s="164" t="s">
        <v>549</v>
      </c>
      <c r="D362" s="11"/>
      <c r="E362" s="9">
        <f t="shared" si="54"/>
        <v>0</v>
      </c>
      <c r="F362" s="11"/>
      <c r="G362" s="9">
        <f t="shared" si="52"/>
        <v>0</v>
      </c>
      <c r="H362" s="9">
        <f t="shared" si="53"/>
        <v>0</v>
      </c>
      <c r="I362" s="11"/>
      <c r="L362" s="158"/>
    </row>
    <row r="363" spans="1:12" x14ac:dyDescent="0.2">
      <c r="A363" s="48">
        <v>45153</v>
      </c>
      <c r="B363" s="49" t="s">
        <v>550</v>
      </c>
      <c r="C363" s="50" t="s">
        <v>200</v>
      </c>
      <c r="D363" s="11"/>
      <c r="E363" s="9">
        <f t="shared" si="54"/>
        <v>0</v>
      </c>
      <c r="F363" s="11">
        <v>699</v>
      </c>
      <c r="G363" s="9">
        <f t="shared" si="52"/>
        <v>0</v>
      </c>
      <c r="H363" s="9">
        <f t="shared" si="53"/>
        <v>0</v>
      </c>
      <c r="I363" s="11"/>
      <c r="J363" s="87" t="s">
        <v>86</v>
      </c>
      <c r="K363" s="88">
        <v>6812</v>
      </c>
      <c r="L363" s="158"/>
    </row>
    <row r="364" spans="1:12" x14ac:dyDescent="0.2">
      <c r="A364" s="48">
        <v>45112</v>
      </c>
      <c r="B364" s="157" t="s">
        <v>551</v>
      </c>
      <c r="C364" s="50" t="s">
        <v>80</v>
      </c>
      <c r="D364" s="11"/>
      <c r="E364" s="9">
        <f t="shared" si="54"/>
        <v>0</v>
      </c>
      <c r="F364" s="11"/>
      <c r="G364" s="9">
        <f t="shared" si="52"/>
        <v>0</v>
      </c>
      <c r="H364" s="9">
        <f t="shared" si="53"/>
        <v>0</v>
      </c>
      <c r="I364" s="11">
        <v>1764.07</v>
      </c>
      <c r="K364" s="88">
        <v>4760</v>
      </c>
      <c r="L364" s="158"/>
    </row>
    <row r="365" spans="1:12" x14ac:dyDescent="0.2">
      <c r="A365" s="48">
        <v>45113</v>
      </c>
      <c r="B365" s="49" t="s">
        <v>567</v>
      </c>
      <c r="D365" s="11"/>
      <c r="E365" s="9"/>
      <c r="F365" s="11"/>
      <c r="G365" s="9">
        <v>-14041</v>
      </c>
      <c r="H365" s="9"/>
      <c r="I365" s="11"/>
      <c r="J365" s="87" t="s">
        <v>89</v>
      </c>
      <c r="L365" s="158"/>
    </row>
    <row r="366" spans="1:12" x14ac:dyDescent="0.2">
      <c r="A366" s="48">
        <v>45156</v>
      </c>
      <c r="B366" s="49" t="s">
        <v>552</v>
      </c>
      <c r="C366" s="50" t="s">
        <v>200</v>
      </c>
      <c r="D366" s="11"/>
      <c r="E366" s="9">
        <f t="shared" si="54"/>
        <v>0</v>
      </c>
      <c r="F366" s="11">
        <v>79387</v>
      </c>
      <c r="G366" s="9">
        <f t="shared" si="52"/>
        <v>0</v>
      </c>
      <c r="H366" s="9">
        <f t="shared" si="53"/>
        <v>0</v>
      </c>
      <c r="I366" s="11"/>
      <c r="J366" s="87" t="s">
        <v>86</v>
      </c>
      <c r="K366" s="88">
        <v>6812</v>
      </c>
      <c r="L366" s="158"/>
    </row>
    <row r="367" spans="1:12" x14ac:dyDescent="0.2">
      <c r="A367" s="48">
        <v>45155</v>
      </c>
      <c r="B367" s="157" t="s">
        <v>553</v>
      </c>
      <c r="C367" s="50" t="s">
        <v>80</v>
      </c>
      <c r="D367" s="11"/>
      <c r="E367" s="9">
        <f t="shared" si="54"/>
        <v>0</v>
      </c>
      <c r="F367" s="11"/>
      <c r="G367" s="9">
        <f t="shared" si="52"/>
        <v>0</v>
      </c>
      <c r="H367" s="9">
        <f t="shared" si="53"/>
        <v>0</v>
      </c>
      <c r="I367" s="11">
        <v>2429.0100000000002</v>
      </c>
      <c r="K367" s="88">
        <v>4760</v>
      </c>
      <c r="L367" s="158"/>
    </row>
    <row r="368" spans="1:12" x14ac:dyDescent="0.2">
      <c r="A368" s="48">
        <v>45161</v>
      </c>
      <c r="B368" s="49" t="s">
        <v>555</v>
      </c>
      <c r="C368" s="50" t="s">
        <v>200</v>
      </c>
      <c r="D368" s="11"/>
      <c r="E368" s="9">
        <f t="shared" si="54"/>
        <v>0</v>
      </c>
      <c r="F368" s="11">
        <v>17480</v>
      </c>
      <c r="G368" s="9">
        <f t="shared" si="52"/>
        <v>0</v>
      </c>
      <c r="H368" s="9">
        <f t="shared" si="53"/>
        <v>0</v>
      </c>
      <c r="I368" s="11"/>
      <c r="J368" s="87" t="s">
        <v>101</v>
      </c>
      <c r="K368" s="88">
        <v>6849</v>
      </c>
      <c r="L368" s="158"/>
    </row>
    <row r="369" spans="1:17" x14ac:dyDescent="0.2">
      <c r="A369" s="48">
        <v>45182</v>
      </c>
      <c r="B369" s="157" t="s">
        <v>560</v>
      </c>
      <c r="C369" s="50" t="s">
        <v>80</v>
      </c>
      <c r="D369" s="11"/>
      <c r="E369" s="9">
        <f t="shared" si="54"/>
        <v>0</v>
      </c>
      <c r="F369" s="11"/>
      <c r="G369" s="9">
        <f t="shared" si="52"/>
        <v>0</v>
      </c>
      <c r="H369" s="9">
        <f t="shared" si="53"/>
        <v>0</v>
      </c>
      <c r="I369" s="11"/>
      <c r="L369" s="158">
        <v>11257.61</v>
      </c>
    </row>
    <row r="370" spans="1:17" x14ac:dyDescent="0.2">
      <c r="A370" s="181">
        <v>45199</v>
      </c>
      <c r="B370" s="182" t="s">
        <v>557</v>
      </c>
      <c r="C370" s="183" t="s">
        <v>200</v>
      </c>
      <c r="D370" s="184"/>
      <c r="E370" s="178">
        <f t="shared" si="54"/>
        <v>0</v>
      </c>
      <c r="F370" s="184">
        <v>-3500</v>
      </c>
      <c r="G370" s="178">
        <f t="shared" si="52"/>
        <v>0</v>
      </c>
      <c r="H370" s="178">
        <f t="shared" si="53"/>
        <v>0</v>
      </c>
      <c r="I370" s="184"/>
      <c r="J370" s="185" t="s">
        <v>182</v>
      </c>
      <c r="K370" s="186">
        <v>6849</v>
      </c>
      <c r="L370" s="187"/>
    </row>
    <row r="371" spans="1:17" x14ac:dyDescent="0.2">
      <c r="A371" s="48">
        <v>45229</v>
      </c>
      <c r="B371" s="157" t="s">
        <v>559</v>
      </c>
      <c r="C371" s="50" t="s">
        <v>80</v>
      </c>
      <c r="D371" s="11"/>
      <c r="E371" s="9">
        <f t="shared" si="54"/>
        <v>0</v>
      </c>
      <c r="F371" s="11"/>
      <c r="G371" s="9">
        <f t="shared" si="52"/>
        <v>0</v>
      </c>
      <c r="H371" s="9">
        <f t="shared" si="53"/>
        <v>0</v>
      </c>
      <c r="I371" s="11">
        <v>11257.61</v>
      </c>
      <c r="K371" s="88">
        <v>4760</v>
      </c>
      <c r="L371" s="158"/>
    </row>
    <row r="372" spans="1:17" x14ac:dyDescent="0.2">
      <c r="A372" s="48">
        <v>45364</v>
      </c>
      <c r="B372" s="49" t="s">
        <v>561</v>
      </c>
      <c r="C372" s="50" t="s">
        <v>200</v>
      </c>
      <c r="D372" s="11"/>
      <c r="E372" s="9">
        <f t="shared" si="54"/>
        <v>0</v>
      </c>
      <c r="F372" s="11">
        <v>20400</v>
      </c>
      <c r="G372" s="9">
        <f t="shared" ref="G372:G435" si="55">IF(J372&gt;0,0,F372)</f>
        <v>0</v>
      </c>
      <c r="H372" s="9">
        <f t="shared" ref="H372:H435" si="56">+D372</f>
        <v>0</v>
      </c>
      <c r="I372" s="11"/>
      <c r="J372" s="87" t="s">
        <v>86</v>
      </c>
      <c r="K372" s="88">
        <v>6812</v>
      </c>
      <c r="L372" s="158"/>
    </row>
    <row r="373" spans="1:17" x14ac:dyDescent="0.2">
      <c r="A373" s="48">
        <v>45366</v>
      </c>
      <c r="B373" s="157" t="s">
        <v>562</v>
      </c>
      <c r="C373" s="50" t="s">
        <v>80</v>
      </c>
      <c r="D373" s="11"/>
      <c r="E373" s="9">
        <f t="shared" si="54"/>
        <v>0</v>
      </c>
      <c r="F373" s="11"/>
      <c r="G373" s="9">
        <f t="shared" si="55"/>
        <v>0</v>
      </c>
      <c r="H373" s="9">
        <f t="shared" si="56"/>
        <v>0</v>
      </c>
      <c r="I373" s="11"/>
      <c r="L373" s="158">
        <v>1950</v>
      </c>
    </row>
    <row r="374" spans="1:17" x14ac:dyDescent="0.2">
      <c r="A374" s="48">
        <v>45371</v>
      </c>
      <c r="B374" s="49" t="s">
        <v>563</v>
      </c>
      <c r="C374" s="50" t="s">
        <v>119</v>
      </c>
      <c r="D374" s="11"/>
      <c r="E374" s="9">
        <f t="shared" si="54"/>
        <v>0</v>
      </c>
      <c r="F374" s="11"/>
      <c r="G374" s="9">
        <v>-78803</v>
      </c>
      <c r="H374" s="9">
        <f t="shared" si="56"/>
        <v>0</v>
      </c>
      <c r="I374" s="11"/>
      <c r="J374" s="87" t="s">
        <v>86</v>
      </c>
      <c r="L374" s="158"/>
    </row>
    <row r="375" spans="1:17" x14ac:dyDescent="0.2">
      <c r="A375" s="48">
        <v>45421</v>
      </c>
      <c r="B375" s="49" t="s">
        <v>564</v>
      </c>
      <c r="C375" s="50" t="s">
        <v>119</v>
      </c>
      <c r="D375" s="11"/>
      <c r="E375" s="9">
        <f t="shared" si="54"/>
        <v>0</v>
      </c>
      <c r="F375" s="11"/>
      <c r="G375" s="9">
        <v>-62300</v>
      </c>
      <c r="H375" s="9">
        <f t="shared" si="56"/>
        <v>0</v>
      </c>
      <c r="I375" s="11"/>
      <c r="J375" s="87" t="s">
        <v>101</v>
      </c>
      <c r="L375" s="158"/>
    </row>
    <row r="376" spans="1:17" x14ac:dyDescent="0.2">
      <c r="A376" s="48">
        <v>45421</v>
      </c>
      <c r="B376" s="157" t="s">
        <v>565</v>
      </c>
      <c r="C376" s="50" t="s">
        <v>80</v>
      </c>
      <c r="D376" s="11"/>
      <c r="E376" s="9">
        <f t="shared" si="54"/>
        <v>0</v>
      </c>
      <c r="F376" s="11"/>
      <c r="G376" s="9">
        <f t="shared" si="55"/>
        <v>0</v>
      </c>
      <c r="H376" s="9">
        <f t="shared" si="56"/>
        <v>0</v>
      </c>
      <c r="I376" s="11">
        <v>1950</v>
      </c>
      <c r="K376" s="88">
        <v>4760</v>
      </c>
      <c r="L376" s="158"/>
    </row>
    <row r="377" spans="1:17" x14ac:dyDescent="0.2">
      <c r="A377" s="48">
        <v>45426</v>
      </c>
      <c r="B377" s="49" t="s">
        <v>566</v>
      </c>
      <c r="C377" s="50" t="s">
        <v>119</v>
      </c>
      <c r="D377" s="11"/>
      <c r="E377" s="9">
        <f t="shared" si="54"/>
        <v>0</v>
      </c>
      <c r="F377" s="11"/>
      <c r="G377" s="9">
        <v>-2800</v>
      </c>
      <c r="H377" s="9">
        <f t="shared" si="56"/>
        <v>0</v>
      </c>
      <c r="I377" s="11"/>
      <c r="J377" s="87" t="s">
        <v>79</v>
      </c>
      <c r="L377" s="158"/>
    </row>
    <row r="378" spans="1:17" x14ac:dyDescent="0.2">
      <c r="A378" s="51"/>
      <c r="D378" s="11"/>
      <c r="E378" s="9">
        <f t="shared" si="54"/>
        <v>0</v>
      </c>
      <c r="F378" s="11"/>
      <c r="G378" s="9">
        <f t="shared" si="55"/>
        <v>0</v>
      </c>
      <c r="H378" s="9">
        <f t="shared" si="56"/>
        <v>0</v>
      </c>
      <c r="I378" s="11"/>
      <c r="L378" s="158"/>
      <c r="Q378" s="11"/>
    </row>
    <row r="379" spans="1:17" x14ac:dyDescent="0.2">
      <c r="D379" s="11"/>
      <c r="E379" s="9">
        <f t="shared" si="54"/>
        <v>0</v>
      </c>
      <c r="F379" s="11"/>
      <c r="G379" s="9">
        <f t="shared" si="55"/>
        <v>0</v>
      </c>
      <c r="H379" s="9">
        <f t="shared" si="56"/>
        <v>0</v>
      </c>
      <c r="I379" s="11"/>
      <c r="L379" s="158"/>
      <c r="Q379" s="11"/>
    </row>
    <row r="380" spans="1:17" x14ac:dyDescent="0.2">
      <c r="A380" s="164" t="s">
        <v>621</v>
      </c>
      <c r="D380" s="11"/>
      <c r="E380" s="9">
        <f t="shared" si="54"/>
        <v>0</v>
      </c>
      <c r="F380" s="11"/>
      <c r="G380" s="9">
        <f t="shared" si="55"/>
        <v>0</v>
      </c>
      <c r="H380" s="9">
        <f t="shared" si="56"/>
        <v>0</v>
      </c>
      <c r="I380" s="11"/>
      <c r="L380" s="158"/>
    </row>
    <row r="381" spans="1:17" x14ac:dyDescent="0.2">
      <c r="A381" s="48">
        <v>45618</v>
      </c>
      <c r="B381" s="202" t="s">
        <v>622</v>
      </c>
      <c r="C381" s="50" t="s">
        <v>200</v>
      </c>
      <c r="D381" s="9">
        <v>-80407.48</v>
      </c>
      <c r="E381" s="9">
        <f t="shared" ref="E381:E385" si="57">+D381</f>
        <v>-80407.48</v>
      </c>
      <c r="F381" s="11"/>
      <c r="G381" s="9">
        <f t="shared" ref="G381:G385" si="58">IF(J381&gt;0,0,F381)</f>
        <v>0</v>
      </c>
      <c r="H381" s="9">
        <f t="shared" ref="H381:H385" si="59">+D381</f>
        <v>-80407.48</v>
      </c>
      <c r="I381" s="11"/>
      <c r="K381" s="88">
        <v>4760</v>
      </c>
      <c r="L381" s="158"/>
    </row>
    <row r="382" spans="1:17" x14ac:dyDescent="0.2">
      <c r="A382" s="48">
        <v>45618</v>
      </c>
      <c r="B382" s="202" t="s">
        <v>623</v>
      </c>
      <c r="C382" s="50" t="s">
        <v>200</v>
      </c>
      <c r="D382" s="9">
        <v>-509870.21</v>
      </c>
      <c r="E382" s="9">
        <f t="shared" si="57"/>
        <v>-509870.21</v>
      </c>
      <c r="F382" s="11"/>
      <c r="G382" s="9">
        <f t="shared" si="58"/>
        <v>0</v>
      </c>
      <c r="H382" s="9">
        <f t="shared" si="59"/>
        <v>-509870.21</v>
      </c>
      <c r="I382" s="11"/>
      <c r="K382" s="88">
        <v>4665</v>
      </c>
      <c r="L382" s="158"/>
    </row>
    <row r="383" spans="1:17" x14ac:dyDescent="0.2">
      <c r="D383" s="11"/>
      <c r="E383" s="9">
        <f t="shared" si="57"/>
        <v>0</v>
      </c>
      <c r="F383" s="11"/>
      <c r="G383" s="9">
        <f t="shared" si="58"/>
        <v>0</v>
      </c>
      <c r="H383" s="9">
        <f t="shared" si="59"/>
        <v>0</v>
      </c>
      <c r="I383" s="11"/>
      <c r="L383" s="158"/>
    </row>
    <row r="384" spans="1:17" x14ac:dyDescent="0.2">
      <c r="D384" s="11"/>
      <c r="E384" s="9">
        <f t="shared" si="57"/>
        <v>0</v>
      </c>
      <c r="F384" s="11"/>
      <c r="G384" s="9">
        <f t="shared" si="58"/>
        <v>0</v>
      </c>
      <c r="H384" s="9">
        <f t="shared" si="59"/>
        <v>0</v>
      </c>
      <c r="I384" s="11"/>
      <c r="L384" s="158"/>
    </row>
    <row r="385" spans="2:12" x14ac:dyDescent="0.2">
      <c r="B385" s="203" t="s">
        <v>624</v>
      </c>
      <c r="D385" s="11"/>
      <c r="E385" s="9">
        <f t="shared" si="57"/>
        <v>0</v>
      </c>
      <c r="F385" s="11"/>
      <c r="G385" s="9">
        <f t="shared" si="58"/>
        <v>0</v>
      </c>
      <c r="H385" s="9">
        <f t="shared" si="59"/>
        <v>0</v>
      </c>
      <c r="I385" s="11"/>
      <c r="L385" s="158"/>
    </row>
    <row r="386" spans="2:12" x14ac:dyDescent="0.2">
      <c r="D386" s="11"/>
      <c r="E386" s="9">
        <f t="shared" si="54"/>
        <v>0</v>
      </c>
      <c r="F386" s="11"/>
      <c r="G386" s="9">
        <f t="shared" si="55"/>
        <v>0</v>
      </c>
      <c r="H386" s="9">
        <f t="shared" si="56"/>
        <v>0</v>
      </c>
      <c r="I386" s="11"/>
      <c r="L386" s="158"/>
    </row>
    <row r="387" spans="2:12" x14ac:dyDescent="0.2">
      <c r="D387" s="11"/>
      <c r="E387" s="9">
        <f t="shared" si="54"/>
        <v>0</v>
      </c>
      <c r="F387" s="11"/>
      <c r="G387" s="9">
        <f t="shared" si="55"/>
        <v>0</v>
      </c>
      <c r="H387" s="9">
        <f t="shared" si="56"/>
        <v>0</v>
      </c>
      <c r="I387" s="11"/>
      <c r="L387" s="158"/>
    </row>
    <row r="388" spans="2:12" x14ac:dyDescent="0.2">
      <c r="D388" s="11"/>
      <c r="E388" s="9">
        <f t="shared" si="54"/>
        <v>0</v>
      </c>
      <c r="F388" s="11"/>
      <c r="G388" s="9">
        <f t="shared" si="55"/>
        <v>0</v>
      </c>
      <c r="H388" s="9">
        <f t="shared" si="56"/>
        <v>0</v>
      </c>
      <c r="I388" s="11"/>
      <c r="L388" s="158"/>
    </row>
    <row r="389" spans="2:12" x14ac:dyDescent="0.2">
      <c r="D389" s="11"/>
      <c r="E389" s="9">
        <f t="shared" si="54"/>
        <v>0</v>
      </c>
      <c r="F389" s="11"/>
      <c r="G389" s="9">
        <f t="shared" si="55"/>
        <v>0</v>
      </c>
      <c r="H389" s="9">
        <f t="shared" si="56"/>
        <v>0</v>
      </c>
      <c r="I389" s="11"/>
      <c r="L389" s="158"/>
    </row>
    <row r="390" spans="2:12" x14ac:dyDescent="0.2">
      <c r="E390" s="9">
        <f t="shared" si="54"/>
        <v>0</v>
      </c>
      <c r="G390" s="9">
        <f t="shared" si="55"/>
        <v>0</v>
      </c>
      <c r="H390" s="9">
        <f t="shared" si="56"/>
        <v>0</v>
      </c>
      <c r="L390" s="158"/>
    </row>
    <row r="391" spans="2:12" x14ac:dyDescent="0.2">
      <c r="E391" s="9">
        <f t="shared" si="54"/>
        <v>0</v>
      </c>
      <c r="G391" s="9">
        <f t="shared" si="55"/>
        <v>0</v>
      </c>
      <c r="H391" s="9">
        <f t="shared" si="56"/>
        <v>0</v>
      </c>
      <c r="L391" s="158"/>
    </row>
    <row r="392" spans="2:12" x14ac:dyDescent="0.2">
      <c r="E392" s="9">
        <f t="shared" si="54"/>
        <v>0</v>
      </c>
      <c r="G392" s="9">
        <f t="shared" si="55"/>
        <v>0</v>
      </c>
      <c r="H392" s="9">
        <f t="shared" si="56"/>
        <v>0</v>
      </c>
      <c r="L392" s="158"/>
    </row>
    <row r="393" spans="2:12" x14ac:dyDescent="0.2">
      <c r="E393" s="9">
        <f t="shared" si="54"/>
        <v>0</v>
      </c>
      <c r="G393" s="9">
        <f t="shared" si="55"/>
        <v>0</v>
      </c>
      <c r="H393" s="9">
        <f t="shared" si="56"/>
        <v>0</v>
      </c>
      <c r="L393" s="158"/>
    </row>
    <row r="394" spans="2:12" x14ac:dyDescent="0.2">
      <c r="E394" s="9">
        <f t="shared" si="54"/>
        <v>0</v>
      </c>
      <c r="G394" s="9">
        <f t="shared" si="55"/>
        <v>0</v>
      </c>
      <c r="H394" s="9">
        <f t="shared" si="56"/>
        <v>0</v>
      </c>
      <c r="L394" s="158"/>
    </row>
    <row r="395" spans="2:12" x14ac:dyDescent="0.2">
      <c r="E395" s="9">
        <f t="shared" si="54"/>
        <v>0</v>
      </c>
      <c r="G395" s="9">
        <f t="shared" si="55"/>
        <v>0</v>
      </c>
      <c r="H395" s="9">
        <f t="shared" si="56"/>
        <v>0</v>
      </c>
      <c r="L395" s="158"/>
    </row>
    <row r="396" spans="2:12" x14ac:dyDescent="0.2">
      <c r="E396" s="9">
        <f t="shared" si="54"/>
        <v>0</v>
      </c>
      <c r="G396" s="9">
        <f t="shared" si="55"/>
        <v>0</v>
      </c>
      <c r="H396" s="9">
        <f t="shared" si="56"/>
        <v>0</v>
      </c>
      <c r="L396" s="158"/>
    </row>
    <row r="397" spans="2:12" x14ac:dyDescent="0.2">
      <c r="E397" s="9">
        <f t="shared" si="54"/>
        <v>0</v>
      </c>
      <c r="G397" s="9">
        <f t="shared" si="55"/>
        <v>0</v>
      </c>
      <c r="H397" s="9">
        <f t="shared" si="56"/>
        <v>0</v>
      </c>
      <c r="L397" s="158"/>
    </row>
    <row r="398" spans="2:12" x14ac:dyDescent="0.2">
      <c r="E398" s="9">
        <f t="shared" si="54"/>
        <v>0</v>
      </c>
      <c r="G398" s="9">
        <f t="shared" si="55"/>
        <v>0</v>
      </c>
      <c r="H398" s="9">
        <f t="shared" si="56"/>
        <v>0</v>
      </c>
      <c r="L398" s="158"/>
    </row>
    <row r="399" spans="2:12" x14ac:dyDescent="0.2">
      <c r="E399" s="9">
        <f t="shared" si="54"/>
        <v>0</v>
      </c>
      <c r="G399" s="9">
        <f t="shared" si="55"/>
        <v>0</v>
      </c>
      <c r="H399" s="9">
        <f t="shared" si="56"/>
        <v>0</v>
      </c>
      <c r="L399" s="158"/>
    </row>
    <row r="400" spans="2:12" x14ac:dyDescent="0.2">
      <c r="E400" s="9">
        <f t="shared" si="54"/>
        <v>0</v>
      </c>
      <c r="G400" s="9">
        <f t="shared" si="55"/>
        <v>0</v>
      </c>
      <c r="H400" s="9">
        <f t="shared" si="56"/>
        <v>0</v>
      </c>
      <c r="L400" s="158"/>
    </row>
    <row r="401" spans="5:12" x14ac:dyDescent="0.2">
      <c r="E401" s="9">
        <f t="shared" si="54"/>
        <v>0</v>
      </c>
      <c r="G401" s="9">
        <f t="shared" si="55"/>
        <v>0</v>
      </c>
      <c r="H401" s="9">
        <f t="shared" si="56"/>
        <v>0</v>
      </c>
      <c r="L401" s="158"/>
    </row>
    <row r="402" spans="5:12" x14ac:dyDescent="0.2">
      <c r="E402" s="9">
        <f t="shared" si="54"/>
        <v>0</v>
      </c>
      <c r="G402" s="9">
        <f t="shared" si="55"/>
        <v>0</v>
      </c>
      <c r="H402" s="9">
        <f t="shared" si="56"/>
        <v>0</v>
      </c>
      <c r="L402" s="158"/>
    </row>
    <row r="403" spans="5:12" x14ac:dyDescent="0.2">
      <c r="E403" s="9">
        <f t="shared" si="54"/>
        <v>0</v>
      </c>
      <c r="G403" s="9">
        <f t="shared" si="55"/>
        <v>0</v>
      </c>
      <c r="H403" s="9">
        <f t="shared" si="56"/>
        <v>0</v>
      </c>
      <c r="L403" s="158"/>
    </row>
    <row r="404" spans="5:12" x14ac:dyDescent="0.2">
      <c r="E404" s="9">
        <f t="shared" si="54"/>
        <v>0</v>
      </c>
      <c r="G404" s="9">
        <f t="shared" si="55"/>
        <v>0</v>
      </c>
      <c r="H404" s="9">
        <f t="shared" si="56"/>
        <v>0</v>
      </c>
      <c r="L404" s="158"/>
    </row>
    <row r="405" spans="5:12" x14ac:dyDescent="0.2">
      <c r="E405" s="9">
        <f t="shared" si="54"/>
        <v>0</v>
      </c>
      <c r="G405" s="9">
        <f t="shared" si="55"/>
        <v>0</v>
      </c>
      <c r="H405" s="9">
        <f t="shared" si="56"/>
        <v>0</v>
      </c>
      <c r="L405" s="158"/>
    </row>
    <row r="406" spans="5:12" x14ac:dyDescent="0.2">
      <c r="E406" s="9">
        <f t="shared" si="54"/>
        <v>0</v>
      </c>
      <c r="G406" s="9">
        <f t="shared" si="55"/>
        <v>0</v>
      </c>
      <c r="H406" s="9">
        <f t="shared" si="56"/>
        <v>0</v>
      </c>
      <c r="L406" s="158"/>
    </row>
    <row r="407" spans="5:12" x14ac:dyDescent="0.2">
      <c r="E407" s="9">
        <f t="shared" si="54"/>
        <v>0</v>
      </c>
      <c r="G407" s="9">
        <f t="shared" si="55"/>
        <v>0</v>
      </c>
      <c r="H407" s="9">
        <f t="shared" si="56"/>
        <v>0</v>
      </c>
      <c r="L407" s="158"/>
    </row>
    <row r="408" spans="5:12" x14ac:dyDescent="0.2">
      <c r="E408" s="9">
        <f t="shared" si="54"/>
        <v>0</v>
      </c>
      <c r="G408" s="9">
        <f t="shared" si="55"/>
        <v>0</v>
      </c>
      <c r="H408" s="9">
        <f t="shared" si="56"/>
        <v>0</v>
      </c>
      <c r="L408" s="158"/>
    </row>
    <row r="409" spans="5:12" x14ac:dyDescent="0.2">
      <c r="E409" s="9">
        <f t="shared" si="54"/>
        <v>0</v>
      </c>
      <c r="G409" s="9">
        <f t="shared" si="55"/>
        <v>0</v>
      </c>
      <c r="H409" s="9">
        <f t="shared" si="56"/>
        <v>0</v>
      </c>
      <c r="L409" s="158"/>
    </row>
    <row r="410" spans="5:12" x14ac:dyDescent="0.2">
      <c r="E410" s="9">
        <f t="shared" si="54"/>
        <v>0</v>
      </c>
      <c r="G410" s="9">
        <f t="shared" si="55"/>
        <v>0</v>
      </c>
      <c r="H410" s="9">
        <f t="shared" si="56"/>
        <v>0</v>
      </c>
      <c r="L410" s="158"/>
    </row>
    <row r="411" spans="5:12" x14ac:dyDescent="0.2">
      <c r="E411" s="9">
        <f t="shared" si="54"/>
        <v>0</v>
      </c>
      <c r="G411" s="9">
        <f t="shared" si="55"/>
        <v>0</v>
      </c>
      <c r="H411" s="9">
        <f t="shared" si="56"/>
        <v>0</v>
      </c>
      <c r="L411" s="158"/>
    </row>
    <row r="412" spans="5:12" x14ac:dyDescent="0.2">
      <c r="E412" s="9">
        <f t="shared" si="54"/>
        <v>0</v>
      </c>
      <c r="G412" s="9">
        <f t="shared" si="55"/>
        <v>0</v>
      </c>
      <c r="H412" s="9">
        <f t="shared" si="56"/>
        <v>0</v>
      </c>
      <c r="L412" s="158"/>
    </row>
    <row r="413" spans="5:12" x14ac:dyDescent="0.2">
      <c r="E413" s="9">
        <f t="shared" si="54"/>
        <v>0</v>
      </c>
      <c r="G413" s="9">
        <f t="shared" si="55"/>
        <v>0</v>
      </c>
      <c r="H413" s="9">
        <f t="shared" si="56"/>
        <v>0</v>
      </c>
      <c r="L413" s="158"/>
    </row>
    <row r="414" spans="5:12" x14ac:dyDescent="0.2">
      <c r="E414" s="9">
        <f t="shared" si="54"/>
        <v>0</v>
      </c>
      <c r="G414" s="9">
        <f t="shared" si="55"/>
        <v>0</v>
      </c>
      <c r="H414" s="9">
        <f t="shared" si="56"/>
        <v>0</v>
      </c>
      <c r="L414" s="158"/>
    </row>
    <row r="415" spans="5:12" x14ac:dyDescent="0.2">
      <c r="E415" s="9">
        <f t="shared" si="54"/>
        <v>0</v>
      </c>
      <c r="G415" s="9">
        <f t="shared" si="55"/>
        <v>0</v>
      </c>
      <c r="H415" s="9">
        <f t="shared" si="56"/>
        <v>0</v>
      </c>
      <c r="L415" s="158"/>
    </row>
    <row r="416" spans="5:12" x14ac:dyDescent="0.2">
      <c r="E416" s="9">
        <f t="shared" si="54"/>
        <v>0</v>
      </c>
      <c r="G416" s="9">
        <f t="shared" si="55"/>
        <v>0</v>
      </c>
      <c r="H416" s="9">
        <f t="shared" si="56"/>
        <v>0</v>
      </c>
      <c r="L416" s="158"/>
    </row>
    <row r="417" spans="5:12" x14ac:dyDescent="0.2">
      <c r="E417" s="9">
        <f t="shared" si="54"/>
        <v>0</v>
      </c>
      <c r="G417" s="9">
        <f t="shared" si="55"/>
        <v>0</v>
      </c>
      <c r="H417" s="9">
        <f t="shared" si="56"/>
        <v>0</v>
      </c>
      <c r="L417" s="158"/>
    </row>
    <row r="418" spans="5:12" x14ac:dyDescent="0.2">
      <c r="E418" s="9">
        <f t="shared" si="54"/>
        <v>0</v>
      </c>
      <c r="G418" s="9">
        <f t="shared" si="55"/>
        <v>0</v>
      </c>
      <c r="H418" s="9">
        <f t="shared" si="56"/>
        <v>0</v>
      </c>
      <c r="L418" s="158"/>
    </row>
    <row r="419" spans="5:12" x14ac:dyDescent="0.2">
      <c r="E419" s="9">
        <f t="shared" si="54"/>
        <v>0</v>
      </c>
      <c r="G419" s="9">
        <f t="shared" si="55"/>
        <v>0</v>
      </c>
      <c r="H419" s="9">
        <f t="shared" si="56"/>
        <v>0</v>
      </c>
      <c r="L419" s="158"/>
    </row>
    <row r="420" spans="5:12" x14ac:dyDescent="0.2">
      <c r="E420" s="9">
        <f t="shared" si="54"/>
        <v>0</v>
      </c>
      <c r="G420" s="9">
        <f t="shared" si="55"/>
        <v>0</v>
      </c>
      <c r="H420" s="9">
        <f t="shared" si="56"/>
        <v>0</v>
      </c>
      <c r="L420" s="158"/>
    </row>
    <row r="421" spans="5:12" x14ac:dyDescent="0.2">
      <c r="E421" s="9">
        <f t="shared" si="54"/>
        <v>0</v>
      </c>
      <c r="G421" s="9">
        <f t="shared" si="55"/>
        <v>0</v>
      </c>
      <c r="H421" s="9">
        <f t="shared" si="56"/>
        <v>0</v>
      </c>
      <c r="L421" s="158"/>
    </row>
    <row r="422" spans="5:12" x14ac:dyDescent="0.2">
      <c r="E422" s="9">
        <f t="shared" si="54"/>
        <v>0</v>
      </c>
      <c r="G422" s="9">
        <f t="shared" si="55"/>
        <v>0</v>
      </c>
      <c r="H422" s="9">
        <f t="shared" si="56"/>
        <v>0</v>
      </c>
      <c r="L422" s="158"/>
    </row>
    <row r="423" spans="5:12" x14ac:dyDescent="0.2">
      <c r="E423" s="9">
        <f t="shared" si="54"/>
        <v>0</v>
      </c>
      <c r="G423" s="9">
        <f t="shared" si="55"/>
        <v>0</v>
      </c>
      <c r="H423" s="9">
        <f t="shared" si="56"/>
        <v>0</v>
      </c>
      <c r="L423" s="158"/>
    </row>
    <row r="424" spans="5:12" x14ac:dyDescent="0.2">
      <c r="E424" s="9">
        <f t="shared" si="54"/>
        <v>0</v>
      </c>
      <c r="G424" s="9">
        <f t="shared" si="55"/>
        <v>0</v>
      </c>
      <c r="H424" s="9">
        <f t="shared" si="56"/>
        <v>0</v>
      </c>
      <c r="L424" s="158"/>
    </row>
    <row r="425" spans="5:12" x14ac:dyDescent="0.2">
      <c r="E425" s="9">
        <f t="shared" si="54"/>
        <v>0</v>
      </c>
      <c r="G425" s="9">
        <f t="shared" si="55"/>
        <v>0</v>
      </c>
      <c r="H425" s="9">
        <f t="shared" si="56"/>
        <v>0</v>
      </c>
      <c r="L425" s="158"/>
    </row>
    <row r="426" spans="5:12" x14ac:dyDescent="0.2">
      <c r="E426" s="9">
        <f t="shared" ref="E426:E489" si="60">+D426</f>
        <v>0</v>
      </c>
      <c r="G426" s="9">
        <f t="shared" si="55"/>
        <v>0</v>
      </c>
      <c r="H426" s="9">
        <f t="shared" si="56"/>
        <v>0</v>
      </c>
      <c r="L426" s="158"/>
    </row>
    <row r="427" spans="5:12" x14ac:dyDescent="0.2">
      <c r="E427" s="9">
        <f t="shared" si="60"/>
        <v>0</v>
      </c>
      <c r="G427" s="9">
        <f t="shared" si="55"/>
        <v>0</v>
      </c>
      <c r="H427" s="9">
        <f t="shared" si="56"/>
        <v>0</v>
      </c>
      <c r="L427" s="158"/>
    </row>
    <row r="428" spans="5:12" x14ac:dyDescent="0.2">
      <c r="E428" s="9">
        <f t="shared" si="60"/>
        <v>0</v>
      </c>
      <c r="G428" s="9">
        <f t="shared" si="55"/>
        <v>0</v>
      </c>
      <c r="H428" s="9">
        <f t="shared" si="56"/>
        <v>0</v>
      </c>
      <c r="L428" s="158"/>
    </row>
    <row r="429" spans="5:12" x14ac:dyDescent="0.2">
      <c r="E429" s="9">
        <f t="shared" si="60"/>
        <v>0</v>
      </c>
      <c r="G429" s="9">
        <f t="shared" si="55"/>
        <v>0</v>
      </c>
      <c r="H429" s="9">
        <f t="shared" si="56"/>
        <v>0</v>
      </c>
      <c r="L429" s="158"/>
    </row>
    <row r="430" spans="5:12" x14ac:dyDescent="0.2">
      <c r="E430" s="9">
        <f t="shared" si="60"/>
        <v>0</v>
      </c>
      <c r="G430" s="9">
        <f t="shared" si="55"/>
        <v>0</v>
      </c>
      <c r="H430" s="9">
        <f t="shared" si="56"/>
        <v>0</v>
      </c>
      <c r="L430" s="158"/>
    </row>
    <row r="431" spans="5:12" x14ac:dyDescent="0.2">
      <c r="E431" s="9">
        <f t="shared" si="60"/>
        <v>0</v>
      </c>
      <c r="G431" s="9">
        <f t="shared" si="55"/>
        <v>0</v>
      </c>
      <c r="H431" s="9">
        <f t="shared" si="56"/>
        <v>0</v>
      </c>
      <c r="L431" s="158"/>
    </row>
    <row r="432" spans="5:12" x14ac:dyDescent="0.2">
      <c r="E432" s="9">
        <f t="shared" si="60"/>
        <v>0</v>
      </c>
      <c r="G432" s="9">
        <f t="shared" si="55"/>
        <v>0</v>
      </c>
      <c r="H432" s="9">
        <f t="shared" si="56"/>
        <v>0</v>
      </c>
      <c r="L432" s="158"/>
    </row>
    <row r="433" spans="5:12" x14ac:dyDescent="0.2">
      <c r="E433" s="9">
        <f t="shared" si="60"/>
        <v>0</v>
      </c>
      <c r="G433" s="9">
        <f t="shared" si="55"/>
        <v>0</v>
      </c>
      <c r="H433" s="9">
        <f t="shared" si="56"/>
        <v>0</v>
      </c>
      <c r="L433" s="158"/>
    </row>
    <row r="434" spans="5:12" x14ac:dyDescent="0.2">
      <c r="E434" s="9">
        <f t="shared" si="60"/>
        <v>0</v>
      </c>
      <c r="G434" s="9">
        <f t="shared" si="55"/>
        <v>0</v>
      </c>
      <c r="H434" s="9">
        <f t="shared" si="56"/>
        <v>0</v>
      </c>
      <c r="L434" s="158"/>
    </row>
    <row r="435" spans="5:12" x14ac:dyDescent="0.2">
      <c r="E435" s="9">
        <f t="shared" si="60"/>
        <v>0</v>
      </c>
      <c r="G435" s="9">
        <f t="shared" si="55"/>
        <v>0</v>
      </c>
      <c r="H435" s="9">
        <f t="shared" si="56"/>
        <v>0</v>
      </c>
      <c r="L435" s="158"/>
    </row>
    <row r="436" spans="5:12" x14ac:dyDescent="0.2">
      <c r="E436" s="9">
        <f t="shared" si="60"/>
        <v>0</v>
      </c>
      <c r="G436" s="9">
        <f t="shared" ref="G436:G499" si="61">IF(J436&gt;0,0,F436)</f>
        <v>0</v>
      </c>
      <c r="H436" s="9">
        <f t="shared" ref="H436:H499" si="62">+D436</f>
        <v>0</v>
      </c>
      <c r="L436" s="158"/>
    </row>
    <row r="437" spans="5:12" x14ac:dyDescent="0.2">
      <c r="E437" s="9">
        <f t="shared" si="60"/>
        <v>0</v>
      </c>
      <c r="G437" s="9">
        <f t="shared" si="61"/>
        <v>0</v>
      </c>
      <c r="H437" s="9">
        <f t="shared" si="62"/>
        <v>0</v>
      </c>
      <c r="L437" s="158"/>
    </row>
    <row r="438" spans="5:12" x14ac:dyDescent="0.2">
      <c r="E438" s="9">
        <f t="shared" si="60"/>
        <v>0</v>
      </c>
      <c r="G438" s="9">
        <f t="shared" si="61"/>
        <v>0</v>
      </c>
      <c r="H438" s="9">
        <f t="shared" si="62"/>
        <v>0</v>
      </c>
      <c r="L438" s="158"/>
    </row>
    <row r="439" spans="5:12" x14ac:dyDescent="0.2">
      <c r="E439" s="9">
        <f t="shared" si="60"/>
        <v>0</v>
      </c>
      <c r="G439" s="9">
        <f t="shared" si="61"/>
        <v>0</v>
      </c>
      <c r="H439" s="9">
        <f t="shared" si="62"/>
        <v>0</v>
      </c>
      <c r="L439" s="158"/>
    </row>
    <row r="440" spans="5:12" x14ac:dyDescent="0.2">
      <c r="E440" s="9">
        <f t="shared" si="60"/>
        <v>0</v>
      </c>
      <c r="G440" s="9">
        <f t="shared" si="61"/>
        <v>0</v>
      </c>
      <c r="H440" s="9">
        <f t="shared" si="62"/>
        <v>0</v>
      </c>
      <c r="L440" s="158"/>
    </row>
    <row r="441" spans="5:12" x14ac:dyDescent="0.2">
      <c r="E441" s="9">
        <f t="shared" si="60"/>
        <v>0</v>
      </c>
      <c r="G441" s="9">
        <f t="shared" si="61"/>
        <v>0</v>
      </c>
      <c r="H441" s="9">
        <f t="shared" si="62"/>
        <v>0</v>
      </c>
      <c r="L441" s="158"/>
    </row>
    <row r="442" spans="5:12" x14ac:dyDescent="0.2">
      <c r="E442" s="9">
        <f t="shared" si="60"/>
        <v>0</v>
      </c>
      <c r="G442" s="9">
        <f t="shared" si="61"/>
        <v>0</v>
      </c>
      <c r="H442" s="9">
        <f t="shared" si="62"/>
        <v>0</v>
      </c>
      <c r="L442" s="158"/>
    </row>
    <row r="443" spans="5:12" x14ac:dyDescent="0.2">
      <c r="E443" s="9">
        <f t="shared" si="60"/>
        <v>0</v>
      </c>
      <c r="G443" s="9">
        <f t="shared" si="61"/>
        <v>0</v>
      </c>
      <c r="H443" s="9">
        <f t="shared" si="62"/>
        <v>0</v>
      </c>
      <c r="L443" s="158"/>
    </row>
    <row r="444" spans="5:12" x14ac:dyDescent="0.2">
      <c r="E444" s="9">
        <f t="shared" si="60"/>
        <v>0</v>
      </c>
      <c r="G444" s="9">
        <f t="shared" si="61"/>
        <v>0</v>
      </c>
      <c r="H444" s="9">
        <f t="shared" si="62"/>
        <v>0</v>
      </c>
      <c r="L444" s="158"/>
    </row>
    <row r="445" spans="5:12" x14ac:dyDescent="0.2">
      <c r="E445" s="9">
        <f t="shared" si="60"/>
        <v>0</v>
      </c>
      <c r="G445" s="9">
        <f t="shared" si="61"/>
        <v>0</v>
      </c>
      <c r="H445" s="9">
        <f t="shared" si="62"/>
        <v>0</v>
      </c>
      <c r="L445" s="158"/>
    </row>
    <row r="446" spans="5:12" x14ac:dyDescent="0.2">
      <c r="E446" s="9">
        <f t="shared" si="60"/>
        <v>0</v>
      </c>
      <c r="G446" s="9">
        <f t="shared" si="61"/>
        <v>0</v>
      </c>
      <c r="H446" s="9">
        <f t="shared" si="62"/>
        <v>0</v>
      </c>
      <c r="L446" s="158"/>
    </row>
    <row r="447" spans="5:12" x14ac:dyDescent="0.2">
      <c r="E447" s="9">
        <f t="shared" si="60"/>
        <v>0</v>
      </c>
      <c r="G447" s="9">
        <f t="shared" si="61"/>
        <v>0</v>
      </c>
      <c r="H447" s="9">
        <f t="shared" si="62"/>
        <v>0</v>
      </c>
      <c r="L447" s="158"/>
    </row>
    <row r="448" spans="5:12" x14ac:dyDescent="0.2">
      <c r="E448" s="9">
        <f t="shared" si="60"/>
        <v>0</v>
      </c>
      <c r="G448" s="9">
        <f t="shared" si="61"/>
        <v>0</v>
      </c>
      <c r="H448" s="9">
        <f t="shared" si="62"/>
        <v>0</v>
      </c>
      <c r="L448" s="158"/>
    </row>
    <row r="449" spans="5:12" x14ac:dyDescent="0.2">
      <c r="E449" s="9">
        <f t="shared" si="60"/>
        <v>0</v>
      </c>
      <c r="G449" s="9">
        <f t="shared" si="61"/>
        <v>0</v>
      </c>
      <c r="H449" s="9">
        <f t="shared" si="62"/>
        <v>0</v>
      </c>
      <c r="L449" s="158"/>
    </row>
    <row r="450" spans="5:12" x14ac:dyDescent="0.2">
      <c r="E450" s="9">
        <f t="shared" si="60"/>
        <v>0</v>
      </c>
      <c r="G450" s="9">
        <f t="shared" si="61"/>
        <v>0</v>
      </c>
      <c r="H450" s="9">
        <f t="shared" si="62"/>
        <v>0</v>
      </c>
      <c r="L450" s="158"/>
    </row>
    <row r="451" spans="5:12" x14ac:dyDescent="0.2">
      <c r="E451" s="9">
        <f t="shared" si="60"/>
        <v>0</v>
      </c>
      <c r="G451" s="9">
        <f t="shared" si="61"/>
        <v>0</v>
      </c>
      <c r="H451" s="9">
        <f t="shared" si="62"/>
        <v>0</v>
      </c>
      <c r="L451" s="158"/>
    </row>
    <row r="452" spans="5:12" x14ac:dyDescent="0.2">
      <c r="E452" s="9">
        <f t="shared" si="60"/>
        <v>0</v>
      </c>
      <c r="G452" s="9">
        <f t="shared" si="61"/>
        <v>0</v>
      </c>
      <c r="H452" s="9">
        <f t="shared" si="62"/>
        <v>0</v>
      </c>
      <c r="L452" s="158"/>
    </row>
    <row r="453" spans="5:12" x14ac:dyDescent="0.2">
      <c r="E453" s="9">
        <f t="shared" si="60"/>
        <v>0</v>
      </c>
      <c r="G453" s="9">
        <f t="shared" si="61"/>
        <v>0</v>
      </c>
      <c r="H453" s="9">
        <f t="shared" si="62"/>
        <v>0</v>
      </c>
      <c r="L453" s="158"/>
    </row>
    <row r="454" spans="5:12" x14ac:dyDescent="0.2">
      <c r="E454" s="9">
        <f t="shared" si="60"/>
        <v>0</v>
      </c>
      <c r="G454" s="9">
        <f t="shared" si="61"/>
        <v>0</v>
      </c>
      <c r="H454" s="9">
        <f t="shared" si="62"/>
        <v>0</v>
      </c>
      <c r="L454" s="158"/>
    </row>
    <row r="455" spans="5:12" x14ac:dyDescent="0.2">
      <c r="E455" s="9">
        <f t="shared" si="60"/>
        <v>0</v>
      </c>
      <c r="G455" s="9">
        <f t="shared" si="61"/>
        <v>0</v>
      </c>
      <c r="H455" s="9">
        <f t="shared" si="62"/>
        <v>0</v>
      </c>
      <c r="L455" s="158"/>
    </row>
    <row r="456" spans="5:12" x14ac:dyDescent="0.2">
      <c r="E456" s="9">
        <f t="shared" si="60"/>
        <v>0</v>
      </c>
      <c r="G456" s="9">
        <f t="shared" si="61"/>
        <v>0</v>
      </c>
      <c r="H456" s="9">
        <f t="shared" si="62"/>
        <v>0</v>
      </c>
      <c r="L456" s="158"/>
    </row>
    <row r="457" spans="5:12" x14ac:dyDescent="0.2">
      <c r="E457" s="9">
        <f t="shared" si="60"/>
        <v>0</v>
      </c>
      <c r="G457" s="9">
        <f t="shared" si="61"/>
        <v>0</v>
      </c>
      <c r="H457" s="9">
        <f t="shared" si="62"/>
        <v>0</v>
      </c>
      <c r="L457" s="158"/>
    </row>
    <row r="458" spans="5:12" x14ac:dyDescent="0.2">
      <c r="E458" s="9">
        <f t="shared" si="60"/>
        <v>0</v>
      </c>
      <c r="G458" s="9">
        <f t="shared" si="61"/>
        <v>0</v>
      </c>
      <c r="H458" s="9">
        <f t="shared" si="62"/>
        <v>0</v>
      </c>
      <c r="L458" s="158"/>
    </row>
    <row r="459" spans="5:12" x14ac:dyDescent="0.2">
      <c r="E459" s="9">
        <f t="shared" si="60"/>
        <v>0</v>
      </c>
      <c r="G459" s="9">
        <f t="shared" si="61"/>
        <v>0</v>
      </c>
      <c r="H459" s="9">
        <f t="shared" si="62"/>
        <v>0</v>
      </c>
      <c r="L459" s="158"/>
    </row>
    <row r="460" spans="5:12" x14ac:dyDescent="0.2">
      <c r="E460" s="9">
        <f t="shared" si="60"/>
        <v>0</v>
      </c>
      <c r="G460" s="9">
        <f t="shared" si="61"/>
        <v>0</v>
      </c>
      <c r="H460" s="9">
        <f t="shared" si="62"/>
        <v>0</v>
      </c>
      <c r="L460" s="158"/>
    </row>
    <row r="461" spans="5:12" x14ac:dyDescent="0.2">
      <c r="E461" s="9">
        <f t="shared" si="60"/>
        <v>0</v>
      </c>
      <c r="G461" s="9">
        <f t="shared" si="61"/>
        <v>0</v>
      </c>
      <c r="H461" s="9">
        <f t="shared" si="62"/>
        <v>0</v>
      </c>
      <c r="L461" s="158"/>
    </row>
    <row r="462" spans="5:12" x14ac:dyDescent="0.2">
      <c r="E462" s="9">
        <f t="shared" si="60"/>
        <v>0</v>
      </c>
      <c r="G462" s="9">
        <f t="shared" si="61"/>
        <v>0</v>
      </c>
      <c r="H462" s="9">
        <f t="shared" si="62"/>
        <v>0</v>
      </c>
      <c r="L462" s="158"/>
    </row>
    <row r="463" spans="5:12" x14ac:dyDescent="0.2">
      <c r="E463" s="9">
        <f t="shared" si="60"/>
        <v>0</v>
      </c>
      <c r="G463" s="9">
        <f t="shared" si="61"/>
        <v>0</v>
      </c>
      <c r="H463" s="9">
        <f t="shared" si="62"/>
        <v>0</v>
      </c>
      <c r="L463" s="158"/>
    </row>
    <row r="464" spans="5:12" x14ac:dyDescent="0.2">
      <c r="E464" s="9">
        <f t="shared" si="60"/>
        <v>0</v>
      </c>
      <c r="G464" s="9">
        <f t="shared" si="61"/>
        <v>0</v>
      </c>
      <c r="H464" s="9">
        <f t="shared" si="62"/>
        <v>0</v>
      </c>
      <c r="L464" s="158"/>
    </row>
    <row r="465" spans="5:12" x14ac:dyDescent="0.2">
      <c r="E465" s="9">
        <f t="shared" si="60"/>
        <v>0</v>
      </c>
      <c r="G465" s="9">
        <f t="shared" si="61"/>
        <v>0</v>
      </c>
      <c r="H465" s="9">
        <f t="shared" si="62"/>
        <v>0</v>
      </c>
      <c r="L465" s="158"/>
    </row>
    <row r="466" spans="5:12" x14ac:dyDescent="0.2">
      <c r="E466" s="9">
        <f t="shared" si="60"/>
        <v>0</v>
      </c>
      <c r="G466" s="9">
        <f t="shared" si="61"/>
        <v>0</v>
      </c>
      <c r="H466" s="9">
        <f t="shared" si="62"/>
        <v>0</v>
      </c>
      <c r="L466" s="158"/>
    </row>
    <row r="467" spans="5:12" x14ac:dyDescent="0.2">
      <c r="E467" s="9">
        <f t="shared" si="60"/>
        <v>0</v>
      </c>
      <c r="G467" s="9">
        <f t="shared" si="61"/>
        <v>0</v>
      </c>
      <c r="H467" s="9">
        <f t="shared" si="62"/>
        <v>0</v>
      </c>
      <c r="L467" s="158"/>
    </row>
    <row r="468" spans="5:12" x14ac:dyDescent="0.2">
      <c r="E468" s="9">
        <f t="shared" si="60"/>
        <v>0</v>
      </c>
      <c r="G468" s="9">
        <f t="shared" si="61"/>
        <v>0</v>
      </c>
      <c r="H468" s="9">
        <f t="shared" si="62"/>
        <v>0</v>
      </c>
      <c r="L468" s="158"/>
    </row>
    <row r="469" spans="5:12" x14ac:dyDescent="0.2">
      <c r="E469" s="9">
        <f t="shared" si="60"/>
        <v>0</v>
      </c>
      <c r="G469" s="9">
        <f t="shared" si="61"/>
        <v>0</v>
      </c>
      <c r="H469" s="9">
        <f t="shared" si="62"/>
        <v>0</v>
      </c>
      <c r="L469" s="158"/>
    </row>
    <row r="470" spans="5:12" x14ac:dyDescent="0.2">
      <c r="E470" s="9">
        <f t="shared" si="60"/>
        <v>0</v>
      </c>
      <c r="G470" s="9">
        <f t="shared" si="61"/>
        <v>0</v>
      </c>
      <c r="H470" s="9">
        <f t="shared" si="62"/>
        <v>0</v>
      </c>
      <c r="L470" s="158"/>
    </row>
    <row r="471" spans="5:12" x14ac:dyDescent="0.2">
      <c r="E471" s="9">
        <f t="shared" si="60"/>
        <v>0</v>
      </c>
      <c r="G471" s="9">
        <f t="shared" si="61"/>
        <v>0</v>
      </c>
      <c r="H471" s="9">
        <f t="shared" si="62"/>
        <v>0</v>
      </c>
      <c r="L471" s="158"/>
    </row>
    <row r="472" spans="5:12" x14ac:dyDescent="0.2">
      <c r="E472" s="9">
        <f t="shared" si="60"/>
        <v>0</v>
      </c>
      <c r="G472" s="9">
        <f t="shared" si="61"/>
        <v>0</v>
      </c>
      <c r="H472" s="9">
        <f t="shared" si="62"/>
        <v>0</v>
      </c>
      <c r="L472" s="158"/>
    </row>
    <row r="473" spans="5:12" x14ac:dyDescent="0.2">
      <c r="E473" s="9">
        <f t="shared" si="60"/>
        <v>0</v>
      </c>
      <c r="G473" s="9">
        <f t="shared" si="61"/>
        <v>0</v>
      </c>
      <c r="H473" s="9">
        <f t="shared" si="62"/>
        <v>0</v>
      </c>
      <c r="L473" s="158"/>
    </row>
    <row r="474" spans="5:12" x14ac:dyDescent="0.2">
      <c r="E474" s="9">
        <f t="shared" si="60"/>
        <v>0</v>
      </c>
      <c r="G474" s="9">
        <f t="shared" si="61"/>
        <v>0</v>
      </c>
      <c r="H474" s="9">
        <f t="shared" si="62"/>
        <v>0</v>
      </c>
      <c r="L474" s="158"/>
    </row>
    <row r="475" spans="5:12" x14ac:dyDescent="0.2">
      <c r="E475" s="9">
        <f t="shared" si="60"/>
        <v>0</v>
      </c>
      <c r="G475" s="9">
        <f t="shared" si="61"/>
        <v>0</v>
      </c>
      <c r="H475" s="9">
        <f t="shared" si="62"/>
        <v>0</v>
      </c>
      <c r="L475" s="158"/>
    </row>
    <row r="476" spans="5:12" x14ac:dyDescent="0.2">
      <c r="E476" s="9">
        <f t="shared" si="60"/>
        <v>0</v>
      </c>
      <c r="G476" s="9">
        <f t="shared" si="61"/>
        <v>0</v>
      </c>
      <c r="H476" s="9">
        <f t="shared" si="62"/>
        <v>0</v>
      </c>
      <c r="L476" s="158"/>
    </row>
    <row r="477" spans="5:12" x14ac:dyDescent="0.2">
      <c r="E477" s="9">
        <f t="shared" si="60"/>
        <v>0</v>
      </c>
      <c r="G477" s="9">
        <f t="shared" si="61"/>
        <v>0</v>
      </c>
      <c r="H477" s="9">
        <f t="shared" si="62"/>
        <v>0</v>
      </c>
      <c r="L477" s="158"/>
    </row>
    <row r="478" spans="5:12" x14ac:dyDescent="0.2">
      <c r="E478" s="9">
        <f t="shared" si="60"/>
        <v>0</v>
      </c>
      <c r="G478" s="9">
        <f t="shared" si="61"/>
        <v>0</v>
      </c>
      <c r="H478" s="9">
        <f t="shared" si="62"/>
        <v>0</v>
      </c>
      <c r="L478" s="158"/>
    </row>
    <row r="479" spans="5:12" x14ac:dyDescent="0.2">
      <c r="E479" s="9">
        <f t="shared" si="60"/>
        <v>0</v>
      </c>
      <c r="G479" s="9">
        <f t="shared" si="61"/>
        <v>0</v>
      </c>
      <c r="H479" s="9">
        <f t="shared" si="62"/>
        <v>0</v>
      </c>
      <c r="L479" s="158"/>
    </row>
    <row r="480" spans="5:12" x14ac:dyDescent="0.2">
      <c r="E480" s="9">
        <f t="shared" si="60"/>
        <v>0</v>
      </c>
      <c r="G480" s="9">
        <f t="shared" si="61"/>
        <v>0</v>
      </c>
      <c r="H480" s="9">
        <f t="shared" si="62"/>
        <v>0</v>
      </c>
      <c r="L480" s="158"/>
    </row>
    <row r="481" spans="5:12" x14ac:dyDescent="0.2">
      <c r="E481" s="9">
        <f t="shared" si="60"/>
        <v>0</v>
      </c>
      <c r="G481" s="9">
        <f t="shared" si="61"/>
        <v>0</v>
      </c>
      <c r="H481" s="9">
        <f t="shared" si="62"/>
        <v>0</v>
      </c>
      <c r="L481" s="158"/>
    </row>
    <row r="482" spans="5:12" x14ac:dyDescent="0.2">
      <c r="E482" s="9">
        <f t="shared" si="60"/>
        <v>0</v>
      </c>
      <c r="G482" s="9">
        <f t="shared" si="61"/>
        <v>0</v>
      </c>
      <c r="H482" s="9">
        <f t="shared" si="62"/>
        <v>0</v>
      </c>
      <c r="L482" s="158"/>
    </row>
    <row r="483" spans="5:12" x14ac:dyDescent="0.2">
      <c r="E483" s="9">
        <f t="shared" si="60"/>
        <v>0</v>
      </c>
      <c r="G483" s="9">
        <f t="shared" si="61"/>
        <v>0</v>
      </c>
      <c r="H483" s="9">
        <f t="shared" si="62"/>
        <v>0</v>
      </c>
      <c r="L483" s="158"/>
    </row>
    <row r="484" spans="5:12" x14ac:dyDescent="0.2">
      <c r="E484" s="9">
        <f t="shared" si="60"/>
        <v>0</v>
      </c>
      <c r="G484" s="9">
        <f t="shared" si="61"/>
        <v>0</v>
      </c>
      <c r="H484" s="9">
        <f t="shared" si="62"/>
        <v>0</v>
      </c>
      <c r="L484" s="158"/>
    </row>
    <row r="485" spans="5:12" x14ac:dyDescent="0.2">
      <c r="E485" s="9">
        <f t="shared" si="60"/>
        <v>0</v>
      </c>
      <c r="G485" s="9">
        <f t="shared" si="61"/>
        <v>0</v>
      </c>
      <c r="H485" s="9">
        <f t="shared" si="62"/>
        <v>0</v>
      </c>
      <c r="L485" s="158"/>
    </row>
    <row r="486" spans="5:12" x14ac:dyDescent="0.2">
      <c r="E486" s="9">
        <f t="shared" si="60"/>
        <v>0</v>
      </c>
      <c r="G486" s="9">
        <f t="shared" si="61"/>
        <v>0</v>
      </c>
      <c r="H486" s="9">
        <f t="shared" si="62"/>
        <v>0</v>
      </c>
      <c r="L486" s="158"/>
    </row>
    <row r="487" spans="5:12" x14ac:dyDescent="0.2">
      <c r="E487" s="9">
        <f t="shared" si="60"/>
        <v>0</v>
      </c>
      <c r="G487" s="9">
        <f t="shared" si="61"/>
        <v>0</v>
      </c>
      <c r="H487" s="9">
        <f t="shared" si="62"/>
        <v>0</v>
      </c>
      <c r="L487" s="158"/>
    </row>
    <row r="488" spans="5:12" x14ac:dyDescent="0.2">
      <c r="E488" s="9">
        <f t="shared" si="60"/>
        <v>0</v>
      </c>
      <c r="G488" s="9">
        <f t="shared" si="61"/>
        <v>0</v>
      </c>
      <c r="H488" s="9">
        <f t="shared" si="62"/>
        <v>0</v>
      </c>
      <c r="L488" s="158"/>
    </row>
    <row r="489" spans="5:12" x14ac:dyDescent="0.2">
      <c r="E489" s="9">
        <f t="shared" si="60"/>
        <v>0</v>
      </c>
      <c r="G489" s="9">
        <f t="shared" si="61"/>
        <v>0</v>
      </c>
      <c r="H489" s="9">
        <f t="shared" si="62"/>
        <v>0</v>
      </c>
      <c r="L489" s="158"/>
    </row>
    <row r="490" spans="5:12" x14ac:dyDescent="0.2">
      <c r="E490" s="9">
        <f t="shared" ref="E490:E553" si="63">+D490</f>
        <v>0</v>
      </c>
      <c r="G490" s="9">
        <f t="shared" si="61"/>
        <v>0</v>
      </c>
      <c r="H490" s="9">
        <f t="shared" si="62"/>
        <v>0</v>
      </c>
      <c r="L490" s="158"/>
    </row>
    <row r="491" spans="5:12" x14ac:dyDescent="0.2">
      <c r="E491" s="9">
        <f t="shared" si="63"/>
        <v>0</v>
      </c>
      <c r="G491" s="9">
        <f t="shared" si="61"/>
        <v>0</v>
      </c>
      <c r="H491" s="9">
        <f t="shared" si="62"/>
        <v>0</v>
      </c>
      <c r="L491" s="158"/>
    </row>
    <row r="492" spans="5:12" x14ac:dyDescent="0.2">
      <c r="E492" s="9">
        <f t="shared" si="63"/>
        <v>0</v>
      </c>
      <c r="G492" s="9">
        <f t="shared" si="61"/>
        <v>0</v>
      </c>
      <c r="H492" s="9">
        <f t="shared" si="62"/>
        <v>0</v>
      </c>
      <c r="L492" s="158"/>
    </row>
    <row r="493" spans="5:12" x14ac:dyDescent="0.2">
      <c r="E493" s="9">
        <f t="shared" si="63"/>
        <v>0</v>
      </c>
      <c r="G493" s="9">
        <f t="shared" si="61"/>
        <v>0</v>
      </c>
      <c r="H493" s="9">
        <f t="shared" si="62"/>
        <v>0</v>
      </c>
      <c r="L493" s="158"/>
    </row>
    <row r="494" spans="5:12" x14ac:dyDescent="0.2">
      <c r="E494" s="9">
        <f t="shared" si="63"/>
        <v>0</v>
      </c>
      <c r="G494" s="9">
        <f t="shared" si="61"/>
        <v>0</v>
      </c>
      <c r="H494" s="9">
        <f t="shared" si="62"/>
        <v>0</v>
      </c>
      <c r="L494" s="158"/>
    </row>
    <row r="495" spans="5:12" x14ac:dyDescent="0.2">
      <c r="E495" s="9">
        <f t="shared" si="63"/>
        <v>0</v>
      </c>
      <c r="G495" s="9">
        <f t="shared" si="61"/>
        <v>0</v>
      </c>
      <c r="H495" s="9">
        <f t="shared" si="62"/>
        <v>0</v>
      </c>
      <c r="L495" s="158"/>
    </row>
    <row r="496" spans="5:12" x14ac:dyDescent="0.2">
      <c r="E496" s="9">
        <f t="shared" si="63"/>
        <v>0</v>
      </c>
      <c r="G496" s="9">
        <f t="shared" si="61"/>
        <v>0</v>
      </c>
      <c r="H496" s="9">
        <f t="shared" si="62"/>
        <v>0</v>
      </c>
      <c r="L496" s="158"/>
    </row>
    <row r="497" spans="5:12" x14ac:dyDescent="0.2">
      <c r="E497" s="9">
        <f t="shared" si="63"/>
        <v>0</v>
      </c>
      <c r="G497" s="9">
        <f t="shared" si="61"/>
        <v>0</v>
      </c>
      <c r="H497" s="9">
        <f t="shared" si="62"/>
        <v>0</v>
      </c>
      <c r="L497" s="158"/>
    </row>
    <row r="498" spans="5:12" x14ac:dyDescent="0.2">
      <c r="E498" s="9">
        <f t="shared" si="63"/>
        <v>0</v>
      </c>
      <c r="G498" s="9">
        <f t="shared" si="61"/>
        <v>0</v>
      </c>
      <c r="H498" s="9">
        <f t="shared" si="62"/>
        <v>0</v>
      </c>
      <c r="L498" s="158"/>
    </row>
    <row r="499" spans="5:12" x14ac:dyDescent="0.2">
      <c r="E499" s="9">
        <f t="shared" si="63"/>
        <v>0</v>
      </c>
      <c r="G499" s="9">
        <f t="shared" si="61"/>
        <v>0</v>
      </c>
      <c r="H499" s="9">
        <f t="shared" si="62"/>
        <v>0</v>
      </c>
      <c r="L499" s="158"/>
    </row>
    <row r="500" spans="5:12" x14ac:dyDescent="0.2">
      <c r="E500" s="9">
        <f t="shared" si="63"/>
        <v>0</v>
      </c>
      <c r="G500" s="9">
        <f t="shared" ref="G500:G563" si="64">IF(J500&gt;0,0,F500)</f>
        <v>0</v>
      </c>
      <c r="H500" s="9">
        <f t="shared" ref="H500:H563" si="65">+D500</f>
        <v>0</v>
      </c>
      <c r="L500" s="158"/>
    </row>
    <row r="501" spans="5:12" x14ac:dyDescent="0.2">
      <c r="E501" s="9">
        <f t="shared" si="63"/>
        <v>0</v>
      </c>
      <c r="G501" s="9">
        <f t="shared" si="64"/>
        <v>0</v>
      </c>
      <c r="H501" s="9">
        <f t="shared" si="65"/>
        <v>0</v>
      </c>
      <c r="L501" s="158"/>
    </row>
    <row r="502" spans="5:12" x14ac:dyDescent="0.2">
      <c r="E502" s="9">
        <f t="shared" si="63"/>
        <v>0</v>
      </c>
      <c r="G502" s="9">
        <f t="shared" si="64"/>
        <v>0</v>
      </c>
      <c r="H502" s="9">
        <f t="shared" si="65"/>
        <v>0</v>
      </c>
      <c r="L502" s="158"/>
    </row>
    <row r="503" spans="5:12" x14ac:dyDescent="0.2">
      <c r="E503" s="9">
        <f t="shared" si="63"/>
        <v>0</v>
      </c>
      <c r="G503" s="9">
        <f t="shared" si="64"/>
        <v>0</v>
      </c>
      <c r="H503" s="9">
        <f t="shared" si="65"/>
        <v>0</v>
      </c>
      <c r="L503" s="158"/>
    </row>
    <row r="504" spans="5:12" x14ac:dyDescent="0.2">
      <c r="E504" s="9">
        <f t="shared" si="63"/>
        <v>0</v>
      </c>
      <c r="G504" s="9">
        <f t="shared" si="64"/>
        <v>0</v>
      </c>
      <c r="H504" s="9">
        <f t="shared" si="65"/>
        <v>0</v>
      </c>
      <c r="L504" s="158"/>
    </row>
    <row r="505" spans="5:12" x14ac:dyDescent="0.2">
      <c r="E505" s="9">
        <f t="shared" si="63"/>
        <v>0</v>
      </c>
      <c r="G505" s="9">
        <f t="shared" si="64"/>
        <v>0</v>
      </c>
      <c r="H505" s="9">
        <f t="shared" si="65"/>
        <v>0</v>
      </c>
      <c r="L505" s="158"/>
    </row>
    <row r="506" spans="5:12" x14ac:dyDescent="0.2">
      <c r="E506" s="9">
        <f t="shared" si="63"/>
        <v>0</v>
      </c>
      <c r="G506" s="9">
        <f t="shared" si="64"/>
        <v>0</v>
      </c>
      <c r="H506" s="9">
        <f t="shared" si="65"/>
        <v>0</v>
      </c>
      <c r="L506" s="158"/>
    </row>
    <row r="507" spans="5:12" x14ac:dyDescent="0.2">
      <c r="E507" s="9">
        <f t="shared" si="63"/>
        <v>0</v>
      </c>
      <c r="G507" s="9">
        <f t="shared" si="64"/>
        <v>0</v>
      </c>
      <c r="H507" s="9">
        <f t="shared" si="65"/>
        <v>0</v>
      </c>
      <c r="L507" s="158"/>
    </row>
    <row r="508" spans="5:12" x14ac:dyDescent="0.2">
      <c r="E508" s="9">
        <f t="shared" si="63"/>
        <v>0</v>
      </c>
      <c r="G508" s="9">
        <f t="shared" si="64"/>
        <v>0</v>
      </c>
      <c r="H508" s="9">
        <f t="shared" si="65"/>
        <v>0</v>
      </c>
      <c r="L508" s="158"/>
    </row>
    <row r="509" spans="5:12" x14ac:dyDescent="0.2">
      <c r="E509" s="9">
        <f t="shared" si="63"/>
        <v>0</v>
      </c>
      <c r="G509" s="9">
        <f t="shared" si="64"/>
        <v>0</v>
      </c>
      <c r="H509" s="9">
        <f t="shared" si="65"/>
        <v>0</v>
      </c>
      <c r="L509" s="158"/>
    </row>
    <row r="510" spans="5:12" x14ac:dyDescent="0.2">
      <c r="E510" s="9">
        <f t="shared" si="63"/>
        <v>0</v>
      </c>
      <c r="G510" s="9">
        <f t="shared" si="64"/>
        <v>0</v>
      </c>
      <c r="H510" s="9">
        <f t="shared" si="65"/>
        <v>0</v>
      </c>
      <c r="L510" s="158"/>
    </row>
    <row r="511" spans="5:12" x14ac:dyDescent="0.2">
      <c r="E511" s="9">
        <f t="shared" si="63"/>
        <v>0</v>
      </c>
      <c r="G511" s="9">
        <f t="shared" si="64"/>
        <v>0</v>
      </c>
      <c r="H511" s="9">
        <f t="shared" si="65"/>
        <v>0</v>
      </c>
      <c r="L511" s="158"/>
    </row>
    <row r="512" spans="5:12" x14ac:dyDescent="0.2">
      <c r="E512" s="9">
        <f t="shared" si="63"/>
        <v>0</v>
      </c>
      <c r="G512" s="9">
        <f t="shared" si="64"/>
        <v>0</v>
      </c>
      <c r="H512" s="9">
        <f t="shared" si="65"/>
        <v>0</v>
      </c>
      <c r="L512" s="158"/>
    </row>
    <row r="513" spans="5:12" x14ac:dyDescent="0.2">
      <c r="E513" s="9">
        <f t="shared" si="63"/>
        <v>0</v>
      </c>
      <c r="G513" s="9">
        <f t="shared" si="64"/>
        <v>0</v>
      </c>
      <c r="H513" s="9">
        <f t="shared" si="65"/>
        <v>0</v>
      </c>
      <c r="L513" s="158"/>
    </row>
    <row r="514" spans="5:12" x14ac:dyDescent="0.2">
      <c r="E514" s="9">
        <f t="shared" si="63"/>
        <v>0</v>
      </c>
      <c r="G514" s="9">
        <f t="shared" si="64"/>
        <v>0</v>
      </c>
      <c r="H514" s="9">
        <f t="shared" si="65"/>
        <v>0</v>
      </c>
      <c r="L514" s="158"/>
    </row>
    <row r="515" spans="5:12" x14ac:dyDescent="0.2">
      <c r="E515" s="9">
        <f t="shared" si="63"/>
        <v>0</v>
      </c>
      <c r="G515" s="9">
        <f t="shared" si="64"/>
        <v>0</v>
      </c>
      <c r="H515" s="9">
        <f t="shared" si="65"/>
        <v>0</v>
      </c>
      <c r="L515" s="158"/>
    </row>
    <row r="516" spans="5:12" x14ac:dyDescent="0.2">
      <c r="E516" s="9">
        <f t="shared" si="63"/>
        <v>0</v>
      </c>
      <c r="G516" s="9">
        <f t="shared" si="64"/>
        <v>0</v>
      </c>
      <c r="H516" s="9">
        <f t="shared" si="65"/>
        <v>0</v>
      </c>
      <c r="L516" s="158"/>
    </row>
    <row r="517" spans="5:12" x14ac:dyDescent="0.2">
      <c r="E517" s="9">
        <f t="shared" si="63"/>
        <v>0</v>
      </c>
      <c r="G517" s="9">
        <f t="shared" si="64"/>
        <v>0</v>
      </c>
      <c r="H517" s="9">
        <f t="shared" si="65"/>
        <v>0</v>
      </c>
      <c r="L517" s="158"/>
    </row>
    <row r="518" spans="5:12" x14ac:dyDescent="0.2">
      <c r="E518" s="9">
        <f t="shared" si="63"/>
        <v>0</v>
      </c>
      <c r="G518" s="9">
        <f t="shared" si="64"/>
        <v>0</v>
      </c>
      <c r="H518" s="9">
        <f t="shared" si="65"/>
        <v>0</v>
      </c>
      <c r="L518" s="158"/>
    </row>
    <row r="519" spans="5:12" x14ac:dyDescent="0.2">
      <c r="E519" s="9">
        <f t="shared" si="63"/>
        <v>0</v>
      </c>
      <c r="G519" s="9">
        <f t="shared" si="64"/>
        <v>0</v>
      </c>
      <c r="H519" s="9">
        <f t="shared" si="65"/>
        <v>0</v>
      </c>
      <c r="L519" s="158"/>
    </row>
    <row r="520" spans="5:12" x14ac:dyDescent="0.2">
      <c r="E520" s="9">
        <f t="shared" si="63"/>
        <v>0</v>
      </c>
      <c r="G520" s="9">
        <f t="shared" si="64"/>
        <v>0</v>
      </c>
      <c r="H520" s="9">
        <f t="shared" si="65"/>
        <v>0</v>
      </c>
      <c r="L520" s="158"/>
    </row>
    <row r="521" spans="5:12" x14ac:dyDescent="0.2">
      <c r="E521" s="9">
        <f t="shared" si="63"/>
        <v>0</v>
      </c>
      <c r="G521" s="9">
        <f t="shared" si="64"/>
        <v>0</v>
      </c>
      <c r="H521" s="9">
        <f t="shared" si="65"/>
        <v>0</v>
      </c>
      <c r="L521" s="158"/>
    </row>
    <row r="522" spans="5:12" x14ac:dyDescent="0.2">
      <c r="E522" s="9">
        <f t="shared" si="63"/>
        <v>0</v>
      </c>
      <c r="G522" s="9">
        <f t="shared" si="64"/>
        <v>0</v>
      </c>
      <c r="H522" s="9">
        <f t="shared" si="65"/>
        <v>0</v>
      </c>
      <c r="L522" s="158"/>
    </row>
    <row r="523" spans="5:12" x14ac:dyDescent="0.2">
      <c r="E523" s="9">
        <f t="shared" si="63"/>
        <v>0</v>
      </c>
      <c r="G523" s="9">
        <f t="shared" si="64"/>
        <v>0</v>
      </c>
      <c r="H523" s="9">
        <f t="shared" si="65"/>
        <v>0</v>
      </c>
      <c r="L523" s="158"/>
    </row>
    <row r="524" spans="5:12" x14ac:dyDescent="0.2">
      <c r="E524" s="9">
        <f t="shared" si="63"/>
        <v>0</v>
      </c>
      <c r="G524" s="9">
        <f t="shared" si="64"/>
        <v>0</v>
      </c>
      <c r="H524" s="9">
        <f t="shared" si="65"/>
        <v>0</v>
      </c>
      <c r="L524" s="158"/>
    </row>
    <row r="525" spans="5:12" x14ac:dyDescent="0.2">
      <c r="E525" s="9">
        <f t="shared" si="63"/>
        <v>0</v>
      </c>
      <c r="G525" s="9">
        <f t="shared" si="64"/>
        <v>0</v>
      </c>
      <c r="H525" s="9">
        <f t="shared" si="65"/>
        <v>0</v>
      </c>
      <c r="L525" s="158"/>
    </row>
    <row r="526" spans="5:12" x14ac:dyDescent="0.2">
      <c r="E526" s="9">
        <f t="shared" si="63"/>
        <v>0</v>
      </c>
      <c r="G526" s="9">
        <f t="shared" si="64"/>
        <v>0</v>
      </c>
      <c r="H526" s="9">
        <f t="shared" si="65"/>
        <v>0</v>
      </c>
      <c r="L526" s="158"/>
    </row>
    <row r="527" spans="5:12" x14ac:dyDescent="0.2">
      <c r="E527" s="9">
        <f t="shared" si="63"/>
        <v>0</v>
      </c>
      <c r="G527" s="9">
        <f t="shared" si="64"/>
        <v>0</v>
      </c>
      <c r="H527" s="9">
        <f t="shared" si="65"/>
        <v>0</v>
      </c>
      <c r="L527" s="158"/>
    </row>
    <row r="528" spans="5:12" x14ac:dyDescent="0.2">
      <c r="E528" s="9">
        <f t="shared" si="63"/>
        <v>0</v>
      </c>
      <c r="G528" s="9">
        <f t="shared" si="64"/>
        <v>0</v>
      </c>
      <c r="H528" s="9">
        <f t="shared" si="65"/>
        <v>0</v>
      </c>
      <c r="L528" s="158"/>
    </row>
    <row r="529" spans="5:12" x14ac:dyDescent="0.2">
      <c r="E529" s="9">
        <f t="shared" si="63"/>
        <v>0</v>
      </c>
      <c r="G529" s="9">
        <f t="shared" si="64"/>
        <v>0</v>
      </c>
      <c r="H529" s="9">
        <f t="shared" si="65"/>
        <v>0</v>
      </c>
      <c r="L529" s="158"/>
    </row>
    <row r="530" spans="5:12" x14ac:dyDescent="0.2">
      <c r="E530" s="9">
        <f t="shared" si="63"/>
        <v>0</v>
      </c>
      <c r="G530" s="9">
        <f t="shared" si="64"/>
        <v>0</v>
      </c>
      <c r="H530" s="9">
        <f t="shared" si="65"/>
        <v>0</v>
      </c>
      <c r="L530" s="158"/>
    </row>
    <row r="531" spans="5:12" x14ac:dyDescent="0.2">
      <c r="E531" s="9">
        <f t="shared" si="63"/>
        <v>0</v>
      </c>
      <c r="G531" s="9">
        <f t="shared" si="64"/>
        <v>0</v>
      </c>
      <c r="H531" s="9">
        <f t="shared" si="65"/>
        <v>0</v>
      </c>
      <c r="L531" s="158"/>
    </row>
    <row r="532" spans="5:12" x14ac:dyDescent="0.2">
      <c r="E532" s="9">
        <f t="shared" si="63"/>
        <v>0</v>
      </c>
      <c r="G532" s="9">
        <f t="shared" si="64"/>
        <v>0</v>
      </c>
      <c r="H532" s="9">
        <f t="shared" si="65"/>
        <v>0</v>
      </c>
      <c r="L532" s="158"/>
    </row>
    <row r="533" spans="5:12" x14ac:dyDescent="0.2">
      <c r="E533" s="9">
        <f t="shared" si="63"/>
        <v>0</v>
      </c>
      <c r="G533" s="9">
        <f t="shared" si="64"/>
        <v>0</v>
      </c>
      <c r="H533" s="9">
        <f t="shared" si="65"/>
        <v>0</v>
      </c>
      <c r="L533" s="158"/>
    </row>
    <row r="534" spans="5:12" x14ac:dyDescent="0.2">
      <c r="E534" s="9">
        <f t="shared" si="63"/>
        <v>0</v>
      </c>
      <c r="G534" s="9">
        <f t="shared" si="64"/>
        <v>0</v>
      </c>
      <c r="H534" s="9">
        <f t="shared" si="65"/>
        <v>0</v>
      </c>
      <c r="L534" s="158"/>
    </row>
    <row r="535" spans="5:12" x14ac:dyDescent="0.2">
      <c r="E535" s="9">
        <f t="shared" si="63"/>
        <v>0</v>
      </c>
      <c r="G535" s="9">
        <f t="shared" si="64"/>
        <v>0</v>
      </c>
      <c r="H535" s="9">
        <f t="shared" si="65"/>
        <v>0</v>
      </c>
      <c r="L535" s="158"/>
    </row>
    <row r="536" spans="5:12" x14ac:dyDescent="0.2">
      <c r="E536" s="9">
        <f t="shared" si="63"/>
        <v>0</v>
      </c>
      <c r="G536" s="9">
        <f t="shared" si="64"/>
        <v>0</v>
      </c>
      <c r="H536" s="9">
        <f t="shared" si="65"/>
        <v>0</v>
      </c>
      <c r="L536" s="158"/>
    </row>
    <row r="537" spans="5:12" x14ac:dyDescent="0.2">
      <c r="E537" s="9">
        <f t="shared" si="63"/>
        <v>0</v>
      </c>
      <c r="G537" s="9">
        <f t="shared" si="64"/>
        <v>0</v>
      </c>
      <c r="H537" s="9">
        <f t="shared" si="65"/>
        <v>0</v>
      </c>
      <c r="L537" s="158"/>
    </row>
    <row r="538" spans="5:12" x14ac:dyDescent="0.2">
      <c r="E538" s="9">
        <f t="shared" si="63"/>
        <v>0</v>
      </c>
      <c r="G538" s="9">
        <f t="shared" si="64"/>
        <v>0</v>
      </c>
      <c r="H538" s="9">
        <f t="shared" si="65"/>
        <v>0</v>
      </c>
      <c r="L538" s="158"/>
    </row>
    <row r="539" spans="5:12" x14ac:dyDescent="0.2">
      <c r="E539" s="9">
        <f t="shared" si="63"/>
        <v>0</v>
      </c>
      <c r="G539" s="9">
        <f t="shared" si="64"/>
        <v>0</v>
      </c>
      <c r="H539" s="9">
        <f t="shared" si="65"/>
        <v>0</v>
      </c>
      <c r="L539" s="158"/>
    </row>
    <row r="540" spans="5:12" x14ac:dyDescent="0.2">
      <c r="E540" s="9">
        <f t="shared" si="63"/>
        <v>0</v>
      </c>
      <c r="G540" s="9">
        <f t="shared" si="64"/>
        <v>0</v>
      </c>
      <c r="H540" s="9">
        <f t="shared" si="65"/>
        <v>0</v>
      </c>
      <c r="L540" s="158"/>
    </row>
    <row r="541" spans="5:12" x14ac:dyDescent="0.2">
      <c r="E541" s="9">
        <f t="shared" si="63"/>
        <v>0</v>
      </c>
      <c r="G541" s="9">
        <f t="shared" si="64"/>
        <v>0</v>
      </c>
      <c r="H541" s="9">
        <f t="shared" si="65"/>
        <v>0</v>
      </c>
      <c r="L541" s="158"/>
    </row>
    <row r="542" spans="5:12" x14ac:dyDescent="0.2">
      <c r="E542" s="9">
        <f t="shared" si="63"/>
        <v>0</v>
      </c>
      <c r="G542" s="9">
        <f t="shared" si="64"/>
        <v>0</v>
      </c>
      <c r="H542" s="9">
        <f t="shared" si="65"/>
        <v>0</v>
      </c>
      <c r="L542" s="158"/>
    </row>
    <row r="543" spans="5:12" x14ac:dyDescent="0.2">
      <c r="E543" s="9">
        <f t="shared" si="63"/>
        <v>0</v>
      </c>
      <c r="G543" s="9">
        <f t="shared" si="64"/>
        <v>0</v>
      </c>
      <c r="H543" s="9">
        <f t="shared" si="65"/>
        <v>0</v>
      </c>
      <c r="L543" s="158"/>
    </row>
    <row r="544" spans="5:12" x14ac:dyDescent="0.2">
      <c r="E544" s="9">
        <f t="shared" si="63"/>
        <v>0</v>
      </c>
      <c r="G544" s="9">
        <f t="shared" si="64"/>
        <v>0</v>
      </c>
      <c r="H544" s="9">
        <f t="shared" si="65"/>
        <v>0</v>
      </c>
      <c r="L544" s="158"/>
    </row>
    <row r="545" spans="5:12" x14ac:dyDescent="0.2">
      <c r="E545" s="9">
        <f t="shared" si="63"/>
        <v>0</v>
      </c>
      <c r="G545" s="9">
        <f t="shared" si="64"/>
        <v>0</v>
      </c>
      <c r="H545" s="9">
        <f t="shared" si="65"/>
        <v>0</v>
      </c>
      <c r="L545" s="158"/>
    </row>
    <row r="546" spans="5:12" x14ac:dyDescent="0.2">
      <c r="E546" s="9">
        <f t="shared" si="63"/>
        <v>0</v>
      </c>
      <c r="G546" s="9">
        <f t="shared" si="64"/>
        <v>0</v>
      </c>
      <c r="H546" s="9">
        <f t="shared" si="65"/>
        <v>0</v>
      </c>
      <c r="L546" s="158"/>
    </row>
    <row r="547" spans="5:12" x14ac:dyDescent="0.2">
      <c r="E547" s="9">
        <f t="shared" si="63"/>
        <v>0</v>
      </c>
      <c r="G547" s="9">
        <f t="shared" si="64"/>
        <v>0</v>
      </c>
      <c r="H547" s="9">
        <f t="shared" si="65"/>
        <v>0</v>
      </c>
      <c r="L547" s="158"/>
    </row>
    <row r="548" spans="5:12" x14ac:dyDescent="0.2">
      <c r="E548" s="9">
        <f t="shared" si="63"/>
        <v>0</v>
      </c>
      <c r="G548" s="9">
        <f t="shared" si="64"/>
        <v>0</v>
      </c>
      <c r="H548" s="9">
        <f t="shared" si="65"/>
        <v>0</v>
      </c>
      <c r="L548" s="158"/>
    </row>
    <row r="549" spans="5:12" x14ac:dyDescent="0.2">
      <c r="E549" s="9">
        <f t="shared" si="63"/>
        <v>0</v>
      </c>
      <c r="G549" s="9">
        <f t="shared" si="64"/>
        <v>0</v>
      </c>
      <c r="H549" s="9">
        <f t="shared" si="65"/>
        <v>0</v>
      </c>
      <c r="L549" s="158"/>
    </row>
    <row r="550" spans="5:12" x14ac:dyDescent="0.2">
      <c r="E550" s="9">
        <f t="shared" si="63"/>
        <v>0</v>
      </c>
      <c r="G550" s="9">
        <f t="shared" si="64"/>
        <v>0</v>
      </c>
      <c r="H550" s="9">
        <f t="shared" si="65"/>
        <v>0</v>
      </c>
      <c r="L550" s="158"/>
    </row>
    <row r="551" spans="5:12" x14ac:dyDescent="0.2">
      <c r="E551" s="9">
        <f t="shared" si="63"/>
        <v>0</v>
      </c>
      <c r="G551" s="9">
        <f t="shared" si="64"/>
        <v>0</v>
      </c>
      <c r="H551" s="9">
        <f t="shared" si="65"/>
        <v>0</v>
      </c>
      <c r="L551" s="158"/>
    </row>
    <row r="552" spans="5:12" x14ac:dyDescent="0.2">
      <c r="E552" s="9">
        <f t="shared" si="63"/>
        <v>0</v>
      </c>
      <c r="G552" s="9">
        <f t="shared" si="64"/>
        <v>0</v>
      </c>
      <c r="H552" s="9">
        <f t="shared" si="65"/>
        <v>0</v>
      </c>
      <c r="L552" s="158"/>
    </row>
    <row r="553" spans="5:12" x14ac:dyDescent="0.2">
      <c r="E553" s="9">
        <f t="shared" si="63"/>
        <v>0</v>
      </c>
      <c r="G553" s="9">
        <f t="shared" si="64"/>
        <v>0</v>
      </c>
      <c r="H553" s="9">
        <f t="shared" si="65"/>
        <v>0</v>
      </c>
      <c r="L553" s="158"/>
    </row>
    <row r="554" spans="5:12" x14ac:dyDescent="0.2">
      <c r="E554" s="9">
        <f t="shared" ref="E554:E617" si="66">+D554</f>
        <v>0</v>
      </c>
      <c r="G554" s="9">
        <f t="shared" si="64"/>
        <v>0</v>
      </c>
      <c r="H554" s="9">
        <f t="shared" si="65"/>
        <v>0</v>
      </c>
      <c r="L554" s="158"/>
    </row>
    <row r="555" spans="5:12" x14ac:dyDescent="0.2">
      <c r="E555" s="9">
        <f t="shared" si="66"/>
        <v>0</v>
      </c>
      <c r="G555" s="9">
        <f t="shared" si="64"/>
        <v>0</v>
      </c>
      <c r="H555" s="9">
        <f t="shared" si="65"/>
        <v>0</v>
      </c>
      <c r="L555" s="158"/>
    </row>
    <row r="556" spans="5:12" x14ac:dyDescent="0.2">
      <c r="E556" s="9">
        <f t="shared" si="66"/>
        <v>0</v>
      </c>
      <c r="G556" s="9">
        <f t="shared" si="64"/>
        <v>0</v>
      </c>
      <c r="H556" s="9">
        <f t="shared" si="65"/>
        <v>0</v>
      </c>
      <c r="L556" s="158"/>
    </row>
    <row r="557" spans="5:12" x14ac:dyDescent="0.2">
      <c r="E557" s="9">
        <f t="shared" si="66"/>
        <v>0</v>
      </c>
      <c r="G557" s="9">
        <f t="shared" si="64"/>
        <v>0</v>
      </c>
      <c r="H557" s="9">
        <f t="shared" si="65"/>
        <v>0</v>
      </c>
      <c r="L557" s="158"/>
    </row>
    <row r="558" spans="5:12" x14ac:dyDescent="0.2">
      <c r="E558" s="9">
        <f t="shared" si="66"/>
        <v>0</v>
      </c>
      <c r="G558" s="9">
        <f t="shared" si="64"/>
        <v>0</v>
      </c>
      <c r="H558" s="9">
        <f t="shared" si="65"/>
        <v>0</v>
      </c>
      <c r="L558" s="158"/>
    </row>
    <row r="559" spans="5:12" x14ac:dyDescent="0.2">
      <c r="E559" s="9">
        <f t="shared" si="66"/>
        <v>0</v>
      </c>
      <c r="G559" s="9">
        <f t="shared" si="64"/>
        <v>0</v>
      </c>
      <c r="H559" s="9">
        <f t="shared" si="65"/>
        <v>0</v>
      </c>
      <c r="L559" s="158"/>
    </row>
    <row r="560" spans="5:12" x14ac:dyDescent="0.2">
      <c r="E560" s="9">
        <f t="shared" si="66"/>
        <v>0</v>
      </c>
      <c r="G560" s="9">
        <f t="shared" si="64"/>
        <v>0</v>
      </c>
      <c r="H560" s="9">
        <f t="shared" si="65"/>
        <v>0</v>
      </c>
      <c r="L560" s="158"/>
    </row>
    <row r="561" spans="5:12" x14ac:dyDescent="0.2">
      <c r="E561" s="9">
        <f t="shared" si="66"/>
        <v>0</v>
      </c>
      <c r="G561" s="9">
        <f t="shared" si="64"/>
        <v>0</v>
      </c>
      <c r="H561" s="9">
        <f t="shared" si="65"/>
        <v>0</v>
      </c>
      <c r="L561" s="158"/>
    </row>
    <row r="562" spans="5:12" x14ac:dyDescent="0.2">
      <c r="E562" s="9">
        <f t="shared" si="66"/>
        <v>0</v>
      </c>
      <c r="G562" s="9">
        <f t="shared" si="64"/>
        <v>0</v>
      </c>
      <c r="H562" s="9">
        <f t="shared" si="65"/>
        <v>0</v>
      </c>
      <c r="L562" s="158"/>
    </row>
    <row r="563" spans="5:12" x14ac:dyDescent="0.2">
      <c r="E563" s="9">
        <f t="shared" si="66"/>
        <v>0</v>
      </c>
      <c r="G563" s="9">
        <f t="shared" si="64"/>
        <v>0</v>
      </c>
      <c r="H563" s="9">
        <f t="shared" si="65"/>
        <v>0</v>
      </c>
      <c r="L563" s="158"/>
    </row>
    <row r="564" spans="5:12" x14ac:dyDescent="0.2">
      <c r="E564" s="9">
        <f t="shared" si="66"/>
        <v>0</v>
      </c>
      <c r="G564" s="9">
        <f t="shared" ref="G564:G627" si="67">IF(J564&gt;0,0,F564)</f>
        <v>0</v>
      </c>
      <c r="H564" s="9">
        <f t="shared" ref="H564:H627" si="68">+D564</f>
        <v>0</v>
      </c>
      <c r="L564" s="158"/>
    </row>
    <row r="565" spans="5:12" x14ac:dyDescent="0.2">
      <c r="E565" s="9">
        <f t="shared" si="66"/>
        <v>0</v>
      </c>
      <c r="G565" s="9">
        <f t="shared" si="67"/>
        <v>0</v>
      </c>
      <c r="H565" s="9">
        <f t="shared" si="68"/>
        <v>0</v>
      </c>
      <c r="L565" s="158"/>
    </row>
    <row r="566" spans="5:12" x14ac:dyDescent="0.2">
      <c r="E566" s="9">
        <f t="shared" si="66"/>
        <v>0</v>
      </c>
      <c r="G566" s="9">
        <f t="shared" si="67"/>
        <v>0</v>
      </c>
      <c r="H566" s="9">
        <f t="shared" si="68"/>
        <v>0</v>
      </c>
      <c r="L566" s="158"/>
    </row>
    <row r="567" spans="5:12" x14ac:dyDescent="0.2">
      <c r="E567" s="9">
        <f t="shared" si="66"/>
        <v>0</v>
      </c>
      <c r="G567" s="9">
        <f t="shared" si="67"/>
        <v>0</v>
      </c>
      <c r="H567" s="9">
        <f t="shared" si="68"/>
        <v>0</v>
      </c>
      <c r="L567" s="158"/>
    </row>
    <row r="568" spans="5:12" x14ac:dyDescent="0.2">
      <c r="E568" s="9">
        <f t="shared" si="66"/>
        <v>0</v>
      </c>
      <c r="G568" s="9">
        <f t="shared" si="67"/>
        <v>0</v>
      </c>
      <c r="H568" s="9">
        <f t="shared" si="68"/>
        <v>0</v>
      </c>
      <c r="L568" s="158"/>
    </row>
    <row r="569" spans="5:12" x14ac:dyDescent="0.2">
      <c r="E569" s="9">
        <f t="shared" si="66"/>
        <v>0</v>
      </c>
      <c r="G569" s="9">
        <f t="shared" si="67"/>
        <v>0</v>
      </c>
      <c r="H569" s="9">
        <f t="shared" si="68"/>
        <v>0</v>
      </c>
      <c r="L569" s="158"/>
    </row>
    <row r="570" spans="5:12" x14ac:dyDescent="0.2">
      <c r="E570" s="9">
        <f t="shared" si="66"/>
        <v>0</v>
      </c>
      <c r="G570" s="9">
        <f t="shared" si="67"/>
        <v>0</v>
      </c>
      <c r="H570" s="9">
        <f t="shared" si="68"/>
        <v>0</v>
      </c>
      <c r="L570" s="158"/>
    </row>
    <row r="571" spans="5:12" x14ac:dyDescent="0.2">
      <c r="E571" s="9">
        <f t="shared" si="66"/>
        <v>0</v>
      </c>
      <c r="G571" s="9">
        <f t="shared" si="67"/>
        <v>0</v>
      </c>
      <c r="H571" s="9">
        <f t="shared" si="68"/>
        <v>0</v>
      </c>
      <c r="L571" s="158"/>
    </row>
    <row r="572" spans="5:12" x14ac:dyDescent="0.2">
      <c r="E572" s="9">
        <f t="shared" si="66"/>
        <v>0</v>
      </c>
      <c r="G572" s="9">
        <f t="shared" si="67"/>
        <v>0</v>
      </c>
      <c r="H572" s="9">
        <f t="shared" si="68"/>
        <v>0</v>
      </c>
      <c r="L572" s="158"/>
    </row>
    <row r="573" spans="5:12" x14ac:dyDescent="0.2">
      <c r="E573" s="9">
        <f t="shared" si="66"/>
        <v>0</v>
      </c>
      <c r="G573" s="9">
        <f t="shared" si="67"/>
        <v>0</v>
      </c>
      <c r="H573" s="9">
        <f t="shared" si="68"/>
        <v>0</v>
      </c>
      <c r="L573" s="158"/>
    </row>
    <row r="574" spans="5:12" x14ac:dyDescent="0.2">
      <c r="E574" s="9">
        <f t="shared" si="66"/>
        <v>0</v>
      </c>
      <c r="G574" s="9">
        <f t="shared" si="67"/>
        <v>0</v>
      </c>
      <c r="H574" s="9">
        <f t="shared" si="68"/>
        <v>0</v>
      </c>
      <c r="L574" s="158"/>
    </row>
    <row r="575" spans="5:12" x14ac:dyDescent="0.2">
      <c r="E575" s="9">
        <f t="shared" si="66"/>
        <v>0</v>
      </c>
      <c r="G575" s="9">
        <f t="shared" si="67"/>
        <v>0</v>
      </c>
      <c r="H575" s="9">
        <f t="shared" si="68"/>
        <v>0</v>
      </c>
      <c r="L575" s="158"/>
    </row>
    <row r="576" spans="5:12" x14ac:dyDescent="0.2">
      <c r="E576" s="9">
        <f t="shared" si="66"/>
        <v>0</v>
      </c>
      <c r="G576" s="9">
        <f t="shared" si="67"/>
        <v>0</v>
      </c>
      <c r="H576" s="9">
        <f t="shared" si="68"/>
        <v>0</v>
      </c>
      <c r="L576" s="158"/>
    </row>
    <row r="577" spans="5:12" x14ac:dyDescent="0.2">
      <c r="E577" s="9">
        <f t="shared" si="66"/>
        <v>0</v>
      </c>
      <c r="G577" s="9">
        <f t="shared" si="67"/>
        <v>0</v>
      </c>
      <c r="H577" s="9">
        <f t="shared" si="68"/>
        <v>0</v>
      </c>
      <c r="L577" s="158"/>
    </row>
    <row r="578" spans="5:12" x14ac:dyDescent="0.2">
      <c r="E578" s="9">
        <f t="shared" si="66"/>
        <v>0</v>
      </c>
      <c r="G578" s="9">
        <f t="shared" si="67"/>
        <v>0</v>
      </c>
      <c r="H578" s="9">
        <f t="shared" si="68"/>
        <v>0</v>
      </c>
      <c r="L578" s="158"/>
    </row>
    <row r="579" spans="5:12" x14ac:dyDescent="0.2">
      <c r="E579" s="9">
        <f t="shared" si="66"/>
        <v>0</v>
      </c>
      <c r="G579" s="9">
        <f t="shared" si="67"/>
        <v>0</v>
      </c>
      <c r="H579" s="9">
        <f t="shared" si="68"/>
        <v>0</v>
      </c>
      <c r="L579" s="158"/>
    </row>
    <row r="580" spans="5:12" x14ac:dyDescent="0.2">
      <c r="E580" s="9">
        <f t="shared" si="66"/>
        <v>0</v>
      </c>
      <c r="G580" s="9">
        <f t="shared" si="67"/>
        <v>0</v>
      </c>
      <c r="H580" s="9">
        <f t="shared" si="68"/>
        <v>0</v>
      </c>
      <c r="L580" s="158"/>
    </row>
    <row r="581" spans="5:12" x14ac:dyDescent="0.2">
      <c r="E581" s="9">
        <f t="shared" si="66"/>
        <v>0</v>
      </c>
      <c r="G581" s="9">
        <f t="shared" si="67"/>
        <v>0</v>
      </c>
      <c r="H581" s="9">
        <f t="shared" si="68"/>
        <v>0</v>
      </c>
      <c r="L581" s="158"/>
    </row>
    <row r="582" spans="5:12" x14ac:dyDescent="0.2">
      <c r="E582" s="9">
        <f t="shared" si="66"/>
        <v>0</v>
      </c>
      <c r="G582" s="9">
        <f t="shared" si="67"/>
        <v>0</v>
      </c>
      <c r="H582" s="9">
        <f t="shared" si="68"/>
        <v>0</v>
      </c>
      <c r="L582" s="158"/>
    </row>
    <row r="583" spans="5:12" x14ac:dyDescent="0.2">
      <c r="E583" s="9">
        <f t="shared" si="66"/>
        <v>0</v>
      </c>
      <c r="G583" s="9">
        <f t="shared" si="67"/>
        <v>0</v>
      </c>
      <c r="H583" s="9">
        <f t="shared" si="68"/>
        <v>0</v>
      </c>
      <c r="L583" s="158"/>
    </row>
    <row r="584" spans="5:12" x14ac:dyDescent="0.2">
      <c r="E584" s="9">
        <f t="shared" si="66"/>
        <v>0</v>
      </c>
      <c r="G584" s="9">
        <f t="shared" si="67"/>
        <v>0</v>
      </c>
      <c r="H584" s="9">
        <f t="shared" si="68"/>
        <v>0</v>
      </c>
      <c r="L584" s="158"/>
    </row>
    <row r="585" spans="5:12" x14ac:dyDescent="0.2">
      <c r="E585" s="9">
        <f t="shared" si="66"/>
        <v>0</v>
      </c>
      <c r="G585" s="9">
        <f t="shared" si="67"/>
        <v>0</v>
      </c>
      <c r="H585" s="9">
        <f t="shared" si="68"/>
        <v>0</v>
      </c>
      <c r="L585" s="158"/>
    </row>
    <row r="586" spans="5:12" x14ac:dyDescent="0.2">
      <c r="E586" s="9">
        <f t="shared" si="66"/>
        <v>0</v>
      </c>
      <c r="G586" s="9">
        <f t="shared" si="67"/>
        <v>0</v>
      </c>
      <c r="H586" s="9">
        <f t="shared" si="68"/>
        <v>0</v>
      </c>
      <c r="L586" s="158"/>
    </row>
    <row r="587" spans="5:12" x14ac:dyDescent="0.2">
      <c r="E587" s="9">
        <f t="shared" si="66"/>
        <v>0</v>
      </c>
      <c r="G587" s="9">
        <f t="shared" si="67"/>
        <v>0</v>
      </c>
      <c r="H587" s="9">
        <f t="shared" si="68"/>
        <v>0</v>
      </c>
      <c r="L587" s="158"/>
    </row>
    <row r="588" spans="5:12" x14ac:dyDescent="0.2">
      <c r="E588" s="9">
        <f t="shared" si="66"/>
        <v>0</v>
      </c>
      <c r="G588" s="9">
        <f t="shared" si="67"/>
        <v>0</v>
      </c>
      <c r="H588" s="9">
        <f t="shared" si="68"/>
        <v>0</v>
      </c>
      <c r="L588" s="158"/>
    </row>
    <row r="589" spans="5:12" x14ac:dyDescent="0.2">
      <c r="E589" s="9">
        <f t="shared" si="66"/>
        <v>0</v>
      </c>
      <c r="G589" s="9">
        <f t="shared" si="67"/>
        <v>0</v>
      </c>
      <c r="H589" s="9">
        <f t="shared" si="68"/>
        <v>0</v>
      </c>
      <c r="L589" s="158"/>
    </row>
    <row r="590" spans="5:12" x14ac:dyDescent="0.2">
      <c r="E590" s="9">
        <f t="shared" si="66"/>
        <v>0</v>
      </c>
      <c r="G590" s="9">
        <f t="shared" si="67"/>
        <v>0</v>
      </c>
      <c r="H590" s="9">
        <f t="shared" si="68"/>
        <v>0</v>
      </c>
      <c r="L590" s="158"/>
    </row>
    <row r="591" spans="5:12" x14ac:dyDescent="0.2">
      <c r="E591" s="9">
        <f t="shared" si="66"/>
        <v>0</v>
      </c>
      <c r="G591" s="9">
        <f t="shared" si="67"/>
        <v>0</v>
      </c>
      <c r="H591" s="9">
        <f t="shared" si="68"/>
        <v>0</v>
      </c>
      <c r="L591" s="158"/>
    </row>
    <row r="592" spans="5:12" x14ac:dyDescent="0.2">
      <c r="E592" s="9">
        <f t="shared" si="66"/>
        <v>0</v>
      </c>
      <c r="G592" s="9">
        <f t="shared" si="67"/>
        <v>0</v>
      </c>
      <c r="H592" s="9">
        <f t="shared" si="68"/>
        <v>0</v>
      </c>
      <c r="L592" s="158"/>
    </row>
    <row r="593" spans="5:12" x14ac:dyDescent="0.2">
      <c r="E593" s="9">
        <f t="shared" si="66"/>
        <v>0</v>
      </c>
      <c r="G593" s="9">
        <f t="shared" si="67"/>
        <v>0</v>
      </c>
      <c r="H593" s="9">
        <f t="shared" si="68"/>
        <v>0</v>
      </c>
      <c r="L593" s="158"/>
    </row>
    <row r="594" spans="5:12" x14ac:dyDescent="0.2">
      <c r="E594" s="9">
        <f t="shared" si="66"/>
        <v>0</v>
      </c>
      <c r="G594" s="9">
        <f t="shared" si="67"/>
        <v>0</v>
      </c>
      <c r="H594" s="9">
        <f t="shared" si="68"/>
        <v>0</v>
      </c>
      <c r="L594" s="158"/>
    </row>
    <row r="595" spans="5:12" x14ac:dyDescent="0.2">
      <c r="E595" s="9">
        <f t="shared" si="66"/>
        <v>0</v>
      </c>
      <c r="G595" s="9">
        <f t="shared" si="67"/>
        <v>0</v>
      </c>
      <c r="H595" s="9">
        <f t="shared" si="68"/>
        <v>0</v>
      </c>
      <c r="L595" s="158"/>
    </row>
    <row r="596" spans="5:12" x14ac:dyDescent="0.2">
      <c r="E596" s="9">
        <f t="shared" si="66"/>
        <v>0</v>
      </c>
      <c r="G596" s="9">
        <f t="shared" si="67"/>
        <v>0</v>
      </c>
      <c r="H596" s="9">
        <f t="shared" si="68"/>
        <v>0</v>
      </c>
      <c r="L596" s="158"/>
    </row>
    <row r="597" spans="5:12" x14ac:dyDescent="0.2">
      <c r="E597" s="9">
        <f t="shared" si="66"/>
        <v>0</v>
      </c>
      <c r="G597" s="9">
        <f t="shared" si="67"/>
        <v>0</v>
      </c>
      <c r="H597" s="9">
        <f t="shared" si="68"/>
        <v>0</v>
      </c>
      <c r="L597" s="158"/>
    </row>
    <row r="598" spans="5:12" x14ac:dyDescent="0.2">
      <c r="E598" s="9">
        <f t="shared" si="66"/>
        <v>0</v>
      </c>
      <c r="G598" s="9">
        <f t="shared" si="67"/>
        <v>0</v>
      </c>
      <c r="H598" s="9">
        <f t="shared" si="68"/>
        <v>0</v>
      </c>
      <c r="L598" s="158"/>
    </row>
    <row r="599" spans="5:12" x14ac:dyDescent="0.2">
      <c r="E599" s="9">
        <f t="shared" si="66"/>
        <v>0</v>
      </c>
      <c r="G599" s="9">
        <f t="shared" si="67"/>
        <v>0</v>
      </c>
      <c r="H599" s="9">
        <f t="shared" si="68"/>
        <v>0</v>
      </c>
      <c r="L599" s="158"/>
    </row>
    <row r="600" spans="5:12" x14ac:dyDescent="0.2">
      <c r="E600" s="9">
        <f t="shared" si="66"/>
        <v>0</v>
      </c>
      <c r="G600" s="9">
        <f t="shared" si="67"/>
        <v>0</v>
      </c>
      <c r="H600" s="9">
        <f t="shared" si="68"/>
        <v>0</v>
      </c>
      <c r="L600" s="158"/>
    </row>
    <row r="601" spans="5:12" x14ac:dyDescent="0.2">
      <c r="E601" s="9">
        <f t="shared" si="66"/>
        <v>0</v>
      </c>
      <c r="G601" s="9">
        <f t="shared" si="67"/>
        <v>0</v>
      </c>
      <c r="H601" s="9">
        <f t="shared" si="68"/>
        <v>0</v>
      </c>
      <c r="L601" s="158"/>
    </row>
    <row r="602" spans="5:12" x14ac:dyDescent="0.2">
      <c r="E602" s="9">
        <f t="shared" si="66"/>
        <v>0</v>
      </c>
      <c r="G602" s="9">
        <f t="shared" si="67"/>
        <v>0</v>
      </c>
      <c r="H602" s="9">
        <f t="shared" si="68"/>
        <v>0</v>
      </c>
      <c r="L602" s="158"/>
    </row>
    <row r="603" spans="5:12" x14ac:dyDescent="0.2">
      <c r="E603" s="9">
        <f t="shared" si="66"/>
        <v>0</v>
      </c>
      <c r="G603" s="9">
        <f t="shared" si="67"/>
        <v>0</v>
      </c>
      <c r="H603" s="9">
        <f t="shared" si="68"/>
        <v>0</v>
      </c>
      <c r="L603" s="158"/>
    </row>
    <row r="604" spans="5:12" x14ac:dyDescent="0.2">
      <c r="E604" s="9">
        <f t="shared" si="66"/>
        <v>0</v>
      </c>
      <c r="G604" s="9">
        <f t="shared" si="67"/>
        <v>0</v>
      </c>
      <c r="H604" s="9">
        <f t="shared" si="68"/>
        <v>0</v>
      </c>
      <c r="L604" s="158"/>
    </row>
    <row r="605" spans="5:12" x14ac:dyDescent="0.2">
      <c r="E605" s="9">
        <f t="shared" si="66"/>
        <v>0</v>
      </c>
      <c r="G605" s="9">
        <f t="shared" si="67"/>
        <v>0</v>
      </c>
      <c r="H605" s="9">
        <f t="shared" si="68"/>
        <v>0</v>
      </c>
      <c r="L605" s="158"/>
    </row>
    <row r="606" spans="5:12" x14ac:dyDescent="0.2">
      <c r="E606" s="9">
        <f t="shared" si="66"/>
        <v>0</v>
      </c>
      <c r="G606" s="9">
        <f t="shared" si="67"/>
        <v>0</v>
      </c>
      <c r="H606" s="9">
        <f t="shared" si="68"/>
        <v>0</v>
      </c>
      <c r="L606" s="158"/>
    </row>
    <row r="607" spans="5:12" x14ac:dyDescent="0.2">
      <c r="E607" s="9">
        <f t="shared" si="66"/>
        <v>0</v>
      </c>
      <c r="G607" s="9">
        <f t="shared" si="67"/>
        <v>0</v>
      </c>
      <c r="H607" s="9">
        <f t="shared" si="68"/>
        <v>0</v>
      </c>
      <c r="L607" s="158"/>
    </row>
    <row r="608" spans="5:12" x14ac:dyDescent="0.2">
      <c r="E608" s="9">
        <f t="shared" si="66"/>
        <v>0</v>
      </c>
      <c r="G608" s="9">
        <f t="shared" si="67"/>
        <v>0</v>
      </c>
      <c r="H608" s="9">
        <f t="shared" si="68"/>
        <v>0</v>
      </c>
      <c r="L608" s="158"/>
    </row>
    <row r="609" spans="5:12" x14ac:dyDescent="0.2">
      <c r="E609" s="9">
        <f t="shared" si="66"/>
        <v>0</v>
      </c>
      <c r="G609" s="9">
        <f t="shared" si="67"/>
        <v>0</v>
      </c>
      <c r="H609" s="9">
        <f t="shared" si="68"/>
        <v>0</v>
      </c>
      <c r="L609" s="158"/>
    </row>
    <row r="610" spans="5:12" x14ac:dyDescent="0.2">
      <c r="E610" s="9">
        <f t="shared" si="66"/>
        <v>0</v>
      </c>
      <c r="G610" s="9">
        <f t="shared" si="67"/>
        <v>0</v>
      </c>
      <c r="H610" s="9">
        <f t="shared" si="68"/>
        <v>0</v>
      </c>
      <c r="L610" s="158"/>
    </row>
    <row r="611" spans="5:12" x14ac:dyDescent="0.2">
      <c r="E611" s="9">
        <f t="shared" si="66"/>
        <v>0</v>
      </c>
      <c r="G611" s="9">
        <f t="shared" si="67"/>
        <v>0</v>
      </c>
      <c r="H611" s="9">
        <f t="shared" si="68"/>
        <v>0</v>
      </c>
      <c r="L611" s="158"/>
    </row>
    <row r="612" spans="5:12" x14ac:dyDescent="0.2">
      <c r="E612" s="9">
        <f t="shared" si="66"/>
        <v>0</v>
      </c>
      <c r="G612" s="9">
        <f t="shared" si="67"/>
        <v>0</v>
      </c>
      <c r="H612" s="9">
        <f t="shared" si="68"/>
        <v>0</v>
      </c>
      <c r="L612" s="158"/>
    </row>
    <row r="613" spans="5:12" x14ac:dyDescent="0.2">
      <c r="E613" s="9">
        <f t="shared" si="66"/>
        <v>0</v>
      </c>
      <c r="G613" s="9">
        <f t="shared" si="67"/>
        <v>0</v>
      </c>
      <c r="H613" s="9">
        <f t="shared" si="68"/>
        <v>0</v>
      </c>
      <c r="L613" s="158"/>
    </row>
    <row r="614" spans="5:12" x14ac:dyDescent="0.2">
      <c r="E614" s="9">
        <f t="shared" si="66"/>
        <v>0</v>
      </c>
      <c r="G614" s="9">
        <f t="shared" si="67"/>
        <v>0</v>
      </c>
      <c r="H614" s="9">
        <f t="shared" si="68"/>
        <v>0</v>
      </c>
      <c r="L614" s="158"/>
    </row>
    <row r="615" spans="5:12" x14ac:dyDescent="0.2">
      <c r="E615" s="9">
        <f t="shared" si="66"/>
        <v>0</v>
      </c>
      <c r="G615" s="9">
        <f t="shared" si="67"/>
        <v>0</v>
      </c>
      <c r="H615" s="9">
        <f t="shared" si="68"/>
        <v>0</v>
      </c>
      <c r="L615" s="158"/>
    </row>
    <row r="616" spans="5:12" x14ac:dyDescent="0.2">
      <c r="E616" s="9">
        <f t="shared" si="66"/>
        <v>0</v>
      </c>
      <c r="G616" s="9">
        <f t="shared" si="67"/>
        <v>0</v>
      </c>
      <c r="H616" s="9">
        <f t="shared" si="68"/>
        <v>0</v>
      </c>
      <c r="L616" s="158"/>
    </row>
    <row r="617" spans="5:12" x14ac:dyDescent="0.2">
      <c r="E617" s="9">
        <f t="shared" si="66"/>
        <v>0</v>
      </c>
      <c r="G617" s="9">
        <f t="shared" si="67"/>
        <v>0</v>
      </c>
      <c r="H617" s="9">
        <f t="shared" si="68"/>
        <v>0</v>
      </c>
      <c r="L617" s="158"/>
    </row>
    <row r="618" spans="5:12" x14ac:dyDescent="0.2">
      <c r="E618" s="9">
        <f t="shared" ref="E618:E658" si="69">+D618</f>
        <v>0</v>
      </c>
      <c r="G618" s="9">
        <f t="shared" si="67"/>
        <v>0</v>
      </c>
      <c r="H618" s="9">
        <f t="shared" si="68"/>
        <v>0</v>
      </c>
      <c r="L618" s="158"/>
    </row>
    <row r="619" spans="5:12" x14ac:dyDescent="0.2">
      <c r="E619" s="9">
        <f t="shared" si="69"/>
        <v>0</v>
      </c>
      <c r="G619" s="9">
        <f t="shared" si="67"/>
        <v>0</v>
      </c>
      <c r="H619" s="9">
        <f t="shared" si="68"/>
        <v>0</v>
      </c>
      <c r="L619" s="158"/>
    </row>
    <row r="620" spans="5:12" x14ac:dyDescent="0.2">
      <c r="E620" s="9">
        <f t="shared" si="69"/>
        <v>0</v>
      </c>
      <c r="G620" s="9">
        <f t="shared" si="67"/>
        <v>0</v>
      </c>
      <c r="H620" s="9">
        <f t="shared" si="68"/>
        <v>0</v>
      </c>
      <c r="L620" s="158"/>
    </row>
    <row r="621" spans="5:12" x14ac:dyDescent="0.2">
      <c r="E621" s="9">
        <f t="shared" si="69"/>
        <v>0</v>
      </c>
      <c r="G621" s="9">
        <f t="shared" si="67"/>
        <v>0</v>
      </c>
      <c r="H621" s="9">
        <f t="shared" si="68"/>
        <v>0</v>
      </c>
      <c r="L621" s="158"/>
    </row>
    <row r="622" spans="5:12" x14ac:dyDescent="0.2">
      <c r="E622" s="9">
        <f t="shared" si="69"/>
        <v>0</v>
      </c>
      <c r="G622" s="9">
        <f t="shared" si="67"/>
        <v>0</v>
      </c>
      <c r="H622" s="9">
        <f t="shared" si="68"/>
        <v>0</v>
      </c>
      <c r="L622" s="158"/>
    </row>
    <row r="623" spans="5:12" x14ac:dyDescent="0.2">
      <c r="E623" s="9">
        <f t="shared" si="69"/>
        <v>0</v>
      </c>
      <c r="G623" s="9">
        <f t="shared" si="67"/>
        <v>0</v>
      </c>
      <c r="H623" s="9">
        <f t="shared" si="68"/>
        <v>0</v>
      </c>
      <c r="L623" s="158"/>
    </row>
    <row r="624" spans="5:12" x14ac:dyDescent="0.2">
      <c r="E624" s="9">
        <f t="shared" si="69"/>
        <v>0</v>
      </c>
      <c r="G624" s="9">
        <f t="shared" si="67"/>
        <v>0</v>
      </c>
      <c r="H624" s="9">
        <f t="shared" si="68"/>
        <v>0</v>
      </c>
      <c r="L624" s="158"/>
    </row>
    <row r="625" spans="5:12" x14ac:dyDescent="0.2">
      <c r="E625" s="9">
        <f t="shared" si="69"/>
        <v>0</v>
      </c>
      <c r="G625" s="9">
        <f t="shared" si="67"/>
        <v>0</v>
      </c>
      <c r="H625" s="9">
        <f t="shared" si="68"/>
        <v>0</v>
      </c>
      <c r="L625" s="158"/>
    </row>
    <row r="626" spans="5:12" x14ac:dyDescent="0.2">
      <c r="E626" s="9">
        <f t="shared" si="69"/>
        <v>0</v>
      </c>
      <c r="G626" s="9">
        <f t="shared" si="67"/>
        <v>0</v>
      </c>
      <c r="H626" s="9">
        <f t="shared" si="68"/>
        <v>0</v>
      </c>
      <c r="L626" s="158"/>
    </row>
    <row r="627" spans="5:12" x14ac:dyDescent="0.2">
      <c r="E627" s="9">
        <f t="shared" si="69"/>
        <v>0</v>
      </c>
      <c r="G627" s="9">
        <f t="shared" si="67"/>
        <v>0</v>
      </c>
      <c r="H627" s="9">
        <f t="shared" si="68"/>
        <v>0</v>
      </c>
      <c r="L627" s="158"/>
    </row>
    <row r="628" spans="5:12" x14ac:dyDescent="0.2">
      <c r="E628" s="9">
        <f t="shared" si="69"/>
        <v>0</v>
      </c>
      <c r="G628" s="9">
        <f t="shared" ref="G628:G658" si="70">IF(J628&gt;0,0,F628)</f>
        <v>0</v>
      </c>
      <c r="H628" s="9">
        <f t="shared" ref="H628:H658" si="71">+D628</f>
        <v>0</v>
      </c>
      <c r="L628" s="158"/>
    </row>
    <row r="629" spans="5:12" x14ac:dyDescent="0.2">
      <c r="E629" s="9">
        <f t="shared" si="69"/>
        <v>0</v>
      </c>
      <c r="G629" s="9">
        <f t="shared" si="70"/>
        <v>0</v>
      </c>
      <c r="H629" s="9">
        <f t="shared" si="71"/>
        <v>0</v>
      </c>
      <c r="L629" s="158"/>
    </row>
    <row r="630" spans="5:12" x14ac:dyDescent="0.2">
      <c r="E630" s="9">
        <f t="shared" si="69"/>
        <v>0</v>
      </c>
      <c r="G630" s="9">
        <f t="shared" si="70"/>
        <v>0</v>
      </c>
      <c r="H630" s="9">
        <f t="shared" si="71"/>
        <v>0</v>
      </c>
      <c r="L630" s="158"/>
    </row>
    <row r="631" spans="5:12" x14ac:dyDescent="0.2">
      <c r="E631" s="9">
        <f t="shared" si="69"/>
        <v>0</v>
      </c>
      <c r="G631" s="9">
        <f t="shared" si="70"/>
        <v>0</v>
      </c>
      <c r="H631" s="9">
        <f t="shared" si="71"/>
        <v>0</v>
      </c>
      <c r="L631" s="158"/>
    </row>
    <row r="632" spans="5:12" x14ac:dyDescent="0.2">
      <c r="E632" s="9">
        <f t="shared" si="69"/>
        <v>0</v>
      </c>
      <c r="G632" s="9">
        <f t="shared" si="70"/>
        <v>0</v>
      </c>
      <c r="H632" s="9">
        <f t="shared" si="71"/>
        <v>0</v>
      </c>
      <c r="L632" s="158"/>
    </row>
    <row r="633" spans="5:12" x14ac:dyDescent="0.2">
      <c r="E633" s="9">
        <f t="shared" si="69"/>
        <v>0</v>
      </c>
      <c r="G633" s="9">
        <f t="shared" si="70"/>
        <v>0</v>
      </c>
      <c r="H633" s="9">
        <f t="shared" si="71"/>
        <v>0</v>
      </c>
      <c r="L633" s="158"/>
    </row>
    <row r="634" spans="5:12" x14ac:dyDescent="0.2">
      <c r="E634" s="9">
        <f t="shared" si="69"/>
        <v>0</v>
      </c>
      <c r="G634" s="9">
        <f t="shared" si="70"/>
        <v>0</v>
      </c>
      <c r="H634" s="9">
        <f t="shared" si="71"/>
        <v>0</v>
      </c>
      <c r="L634" s="158"/>
    </row>
    <row r="635" spans="5:12" x14ac:dyDescent="0.2">
      <c r="E635" s="9">
        <f t="shared" si="69"/>
        <v>0</v>
      </c>
      <c r="G635" s="9">
        <f t="shared" si="70"/>
        <v>0</v>
      </c>
      <c r="H635" s="9">
        <f t="shared" si="71"/>
        <v>0</v>
      </c>
      <c r="L635" s="158"/>
    </row>
    <row r="636" spans="5:12" x14ac:dyDescent="0.2">
      <c r="E636" s="9">
        <f t="shared" si="69"/>
        <v>0</v>
      </c>
      <c r="G636" s="9">
        <f t="shared" si="70"/>
        <v>0</v>
      </c>
      <c r="H636" s="9">
        <f t="shared" si="71"/>
        <v>0</v>
      </c>
      <c r="L636" s="158"/>
    </row>
    <row r="637" spans="5:12" x14ac:dyDescent="0.2">
      <c r="E637" s="9">
        <f t="shared" si="69"/>
        <v>0</v>
      </c>
      <c r="G637" s="9">
        <f t="shared" si="70"/>
        <v>0</v>
      </c>
      <c r="H637" s="9">
        <f t="shared" si="71"/>
        <v>0</v>
      </c>
      <c r="L637" s="158"/>
    </row>
    <row r="638" spans="5:12" x14ac:dyDescent="0.2">
      <c r="E638" s="9">
        <f t="shared" si="69"/>
        <v>0</v>
      </c>
      <c r="G638" s="9">
        <f t="shared" si="70"/>
        <v>0</v>
      </c>
      <c r="H638" s="9">
        <f t="shared" si="71"/>
        <v>0</v>
      </c>
      <c r="L638" s="158"/>
    </row>
    <row r="639" spans="5:12" x14ac:dyDescent="0.2">
      <c r="E639" s="9">
        <f t="shared" si="69"/>
        <v>0</v>
      </c>
      <c r="G639" s="9">
        <f t="shared" si="70"/>
        <v>0</v>
      </c>
      <c r="H639" s="9">
        <f t="shared" si="71"/>
        <v>0</v>
      </c>
      <c r="L639" s="158"/>
    </row>
    <row r="640" spans="5:12" x14ac:dyDescent="0.2">
      <c r="E640" s="9">
        <f t="shared" si="69"/>
        <v>0</v>
      </c>
      <c r="G640" s="9">
        <f t="shared" si="70"/>
        <v>0</v>
      </c>
      <c r="H640" s="9">
        <f t="shared" si="71"/>
        <v>0</v>
      </c>
      <c r="L640" s="158"/>
    </row>
    <row r="641" spans="5:12" x14ac:dyDescent="0.2">
      <c r="E641" s="9">
        <f t="shared" si="69"/>
        <v>0</v>
      </c>
      <c r="G641" s="9">
        <f t="shared" si="70"/>
        <v>0</v>
      </c>
      <c r="H641" s="9">
        <f t="shared" si="71"/>
        <v>0</v>
      </c>
      <c r="L641" s="158"/>
    </row>
    <row r="642" spans="5:12" x14ac:dyDescent="0.2">
      <c r="E642" s="9">
        <f t="shared" si="69"/>
        <v>0</v>
      </c>
      <c r="G642" s="9">
        <f t="shared" si="70"/>
        <v>0</v>
      </c>
      <c r="H642" s="9">
        <f t="shared" si="71"/>
        <v>0</v>
      </c>
      <c r="L642" s="158"/>
    </row>
    <row r="643" spans="5:12" x14ac:dyDescent="0.2">
      <c r="E643" s="9">
        <f t="shared" si="69"/>
        <v>0</v>
      </c>
      <c r="G643" s="9">
        <f t="shared" si="70"/>
        <v>0</v>
      </c>
      <c r="H643" s="9">
        <f t="shared" si="71"/>
        <v>0</v>
      </c>
      <c r="L643" s="158"/>
    </row>
    <row r="644" spans="5:12" x14ac:dyDescent="0.2">
      <c r="E644" s="9">
        <f t="shared" si="69"/>
        <v>0</v>
      </c>
      <c r="G644" s="9">
        <f t="shared" si="70"/>
        <v>0</v>
      </c>
      <c r="H644" s="9">
        <f t="shared" si="71"/>
        <v>0</v>
      </c>
      <c r="L644" s="158"/>
    </row>
    <row r="645" spans="5:12" x14ac:dyDescent="0.2">
      <c r="E645" s="9">
        <f t="shared" si="69"/>
        <v>0</v>
      </c>
      <c r="G645" s="9">
        <f t="shared" si="70"/>
        <v>0</v>
      </c>
      <c r="H645" s="9">
        <f t="shared" si="71"/>
        <v>0</v>
      </c>
      <c r="L645" s="158"/>
    </row>
    <row r="646" spans="5:12" x14ac:dyDescent="0.2">
      <c r="E646" s="9">
        <f t="shared" si="69"/>
        <v>0</v>
      </c>
      <c r="G646" s="9">
        <f t="shared" si="70"/>
        <v>0</v>
      </c>
      <c r="H646" s="9">
        <f t="shared" si="71"/>
        <v>0</v>
      </c>
      <c r="L646" s="158"/>
    </row>
    <row r="647" spans="5:12" x14ac:dyDescent="0.2">
      <c r="E647" s="9">
        <f t="shared" si="69"/>
        <v>0</v>
      </c>
      <c r="G647" s="9">
        <f t="shared" si="70"/>
        <v>0</v>
      </c>
      <c r="H647" s="9">
        <f t="shared" si="71"/>
        <v>0</v>
      </c>
      <c r="L647" s="158"/>
    </row>
    <row r="648" spans="5:12" x14ac:dyDescent="0.2">
      <c r="E648" s="9">
        <f t="shared" si="69"/>
        <v>0</v>
      </c>
      <c r="G648" s="9">
        <f t="shared" si="70"/>
        <v>0</v>
      </c>
      <c r="H648" s="9">
        <f t="shared" si="71"/>
        <v>0</v>
      </c>
      <c r="L648" s="158"/>
    </row>
    <row r="649" spans="5:12" x14ac:dyDescent="0.2">
      <c r="E649" s="9">
        <f t="shared" si="69"/>
        <v>0</v>
      </c>
      <c r="G649" s="9">
        <f t="shared" si="70"/>
        <v>0</v>
      </c>
      <c r="H649" s="9">
        <f t="shared" si="71"/>
        <v>0</v>
      </c>
      <c r="L649" s="158"/>
    </row>
    <row r="650" spans="5:12" x14ac:dyDescent="0.2">
      <c r="E650" s="9">
        <f t="shared" si="69"/>
        <v>0</v>
      </c>
      <c r="G650" s="9">
        <f t="shared" si="70"/>
        <v>0</v>
      </c>
      <c r="H650" s="9">
        <f t="shared" si="71"/>
        <v>0</v>
      </c>
      <c r="L650" s="158"/>
    </row>
    <row r="651" spans="5:12" x14ac:dyDescent="0.2">
      <c r="E651" s="9">
        <f t="shared" si="69"/>
        <v>0</v>
      </c>
      <c r="G651" s="9">
        <f t="shared" si="70"/>
        <v>0</v>
      </c>
      <c r="H651" s="9">
        <f t="shared" si="71"/>
        <v>0</v>
      </c>
      <c r="L651" s="158"/>
    </row>
    <row r="652" spans="5:12" x14ac:dyDescent="0.2">
      <c r="E652" s="9">
        <f t="shared" si="69"/>
        <v>0</v>
      </c>
      <c r="G652" s="9">
        <f t="shared" si="70"/>
        <v>0</v>
      </c>
      <c r="H652" s="9">
        <f t="shared" si="71"/>
        <v>0</v>
      </c>
      <c r="L652" s="158"/>
    </row>
    <row r="653" spans="5:12" x14ac:dyDescent="0.2">
      <c r="E653" s="9">
        <f t="shared" si="69"/>
        <v>0</v>
      </c>
      <c r="G653" s="9">
        <f t="shared" si="70"/>
        <v>0</v>
      </c>
      <c r="H653" s="9">
        <f t="shared" si="71"/>
        <v>0</v>
      </c>
    </row>
    <row r="654" spans="5:12" x14ac:dyDescent="0.2">
      <c r="E654" s="9">
        <f t="shared" si="69"/>
        <v>0</v>
      </c>
      <c r="G654" s="9">
        <f t="shared" si="70"/>
        <v>0</v>
      </c>
      <c r="H654" s="9">
        <f t="shared" si="71"/>
        <v>0</v>
      </c>
    </row>
    <row r="655" spans="5:12" x14ac:dyDescent="0.2">
      <c r="E655" s="9">
        <f t="shared" si="69"/>
        <v>0</v>
      </c>
      <c r="G655" s="9">
        <f t="shared" si="70"/>
        <v>0</v>
      </c>
      <c r="H655" s="9">
        <f t="shared" si="71"/>
        <v>0</v>
      </c>
    </row>
    <row r="656" spans="5:12" x14ac:dyDescent="0.2">
      <c r="E656" s="9">
        <f t="shared" si="69"/>
        <v>0</v>
      </c>
      <c r="G656" s="9">
        <f t="shared" si="70"/>
        <v>0</v>
      </c>
      <c r="H656" s="9">
        <f t="shared" si="71"/>
        <v>0</v>
      </c>
    </row>
    <row r="657" spans="5:8" x14ac:dyDescent="0.2">
      <c r="E657" s="9">
        <f t="shared" si="69"/>
        <v>0</v>
      </c>
      <c r="G657" s="9">
        <f t="shared" si="70"/>
        <v>0</v>
      </c>
      <c r="H657" s="9">
        <f t="shared" si="71"/>
        <v>0</v>
      </c>
    </row>
    <row r="658" spans="5:8" x14ac:dyDescent="0.2">
      <c r="E658" s="9">
        <f t="shared" si="69"/>
        <v>0</v>
      </c>
      <c r="G658" s="9">
        <f t="shared" si="70"/>
        <v>0</v>
      </c>
      <c r="H658" s="9">
        <f t="shared" si="71"/>
        <v>0</v>
      </c>
    </row>
  </sheetData>
  <sheetProtection algorithmName="SHA-512" hashValue="VOSvav++wNcPkxRy9YSQPCabI6N5rKqfPEQOZgVtzARJyq2vmBSPj4P6THwL1jIUSW6zqpUMg59RwLfhJ5gn8A==" saltValue="nWkv/v64SJ45T3Dl+0FSEA==" spinCount="100000" sheet="1"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F753C-33E5-4D28-BBD0-8F2027150BA2}">
  <dimension ref="A1:IT65"/>
  <sheetViews>
    <sheetView topLeftCell="A34" workbookViewId="0">
      <selection activeCell="C65" sqref="C65"/>
    </sheetView>
  </sheetViews>
  <sheetFormatPr defaultRowHeight="15.75" x14ac:dyDescent="0.25"/>
  <cols>
    <col min="2" max="2" width="55.44140625" bestFit="1" customWidth="1"/>
  </cols>
  <sheetData>
    <row r="1" spans="1:254" s="67" customFormat="1" ht="14.1" customHeight="1" x14ac:dyDescent="0.2">
      <c r="A1" s="199"/>
      <c r="B1" s="60" t="s">
        <v>7</v>
      </c>
      <c r="C1" s="200"/>
      <c r="D1" s="62" t="s">
        <v>8</v>
      </c>
      <c r="E1" s="63" t="s">
        <v>9</v>
      </c>
      <c r="F1" s="63" t="s">
        <v>10</v>
      </c>
      <c r="G1" s="64" t="s">
        <v>11</v>
      </c>
      <c r="H1" s="64" t="s">
        <v>12</v>
      </c>
      <c r="I1" s="201" t="s">
        <v>8</v>
      </c>
      <c r="J1" s="66" t="s">
        <v>620</v>
      </c>
      <c r="K1" s="66" t="s">
        <v>13</v>
      </c>
      <c r="L1" s="97" t="s">
        <v>51</v>
      </c>
      <c r="M1" s="98" t="s">
        <v>52</v>
      </c>
    </row>
    <row r="2" spans="1:254" s="11" customFormat="1" ht="14.1" customHeight="1" x14ac:dyDescent="0.2">
      <c r="A2" s="48">
        <v>44588</v>
      </c>
      <c r="B2" s="157" t="s">
        <v>568</v>
      </c>
      <c r="C2" s="188" t="s">
        <v>200</v>
      </c>
      <c r="D2" s="158"/>
      <c r="E2" s="9">
        <f>+D2</f>
        <v>0</v>
      </c>
      <c r="G2" s="9">
        <f t="shared" ref="G2:G33" si="0">IF(J2&gt;0,0,F2)</f>
        <v>0</v>
      </c>
      <c r="H2" s="9">
        <f>+D2</f>
        <v>0</v>
      </c>
      <c r="I2" s="11">
        <v>311.18</v>
      </c>
      <c r="J2" s="88">
        <v>1904670</v>
      </c>
      <c r="K2" s="88">
        <v>4760</v>
      </c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  <c r="IA2" s="51"/>
      <c r="IB2" s="51"/>
      <c r="IC2" s="51"/>
      <c r="ID2" s="51"/>
      <c r="IE2" s="51"/>
      <c r="IF2" s="51"/>
      <c r="IG2" s="51"/>
      <c r="IH2" s="51"/>
      <c r="II2" s="51"/>
      <c r="IJ2" s="51"/>
      <c r="IK2" s="51"/>
      <c r="IL2" s="51"/>
      <c r="IM2" s="51"/>
      <c r="IN2" s="51"/>
      <c r="IO2" s="51"/>
      <c r="IP2" s="51"/>
      <c r="IQ2" s="51"/>
      <c r="IR2" s="51"/>
      <c r="IS2" s="51"/>
      <c r="IT2" s="51"/>
    </row>
    <row r="3" spans="1:254" s="51" customFormat="1" ht="12" x14ac:dyDescent="0.2">
      <c r="A3" s="48">
        <v>43945</v>
      </c>
      <c r="B3" s="157" t="s">
        <v>569</v>
      </c>
      <c r="C3" s="188" t="s">
        <v>200</v>
      </c>
      <c r="D3" s="11"/>
      <c r="E3" s="9">
        <f>+D3</f>
        <v>0</v>
      </c>
      <c r="F3" s="9"/>
      <c r="G3" s="9">
        <f t="shared" si="0"/>
        <v>0</v>
      </c>
      <c r="H3" s="9">
        <f>+D3</f>
        <v>0</v>
      </c>
      <c r="I3" s="11">
        <v>184727.69</v>
      </c>
      <c r="J3" s="189">
        <v>19046770</v>
      </c>
      <c r="K3" s="88">
        <v>4760</v>
      </c>
    </row>
    <row r="4" spans="1:254" s="51" customFormat="1" ht="12" x14ac:dyDescent="0.2">
      <c r="A4" s="48">
        <v>43968</v>
      </c>
      <c r="B4" s="49" t="s">
        <v>570</v>
      </c>
      <c r="C4" s="188" t="s">
        <v>200</v>
      </c>
      <c r="D4" s="11">
        <v>4231.68</v>
      </c>
      <c r="E4" s="9">
        <f>+D4</f>
        <v>4231.68</v>
      </c>
      <c r="F4" s="9"/>
      <c r="G4" s="9">
        <f t="shared" si="0"/>
        <v>0</v>
      </c>
      <c r="H4" s="9">
        <f>+D4</f>
        <v>4231.68</v>
      </c>
      <c r="I4" s="11"/>
      <c r="J4" s="189">
        <v>19046770</v>
      </c>
      <c r="K4" s="88"/>
    </row>
    <row r="5" spans="1:254" s="51" customFormat="1" ht="12" x14ac:dyDescent="0.2">
      <c r="A5" s="48">
        <v>43973</v>
      </c>
      <c r="B5" s="49" t="s">
        <v>571</v>
      </c>
      <c r="C5" s="188" t="s">
        <v>200</v>
      </c>
      <c r="D5" s="11"/>
      <c r="E5" s="9"/>
      <c r="F5" s="9"/>
      <c r="G5" s="9">
        <f t="shared" si="0"/>
        <v>0</v>
      </c>
      <c r="H5" s="9"/>
      <c r="I5" s="11">
        <v>195182.85</v>
      </c>
      <c r="J5" s="189">
        <v>19046770</v>
      </c>
      <c r="K5" s="88"/>
    </row>
    <row r="6" spans="1:254" s="51" customFormat="1" ht="12" x14ac:dyDescent="0.2">
      <c r="A6" s="48">
        <v>43994</v>
      </c>
      <c r="B6" s="49" t="s">
        <v>572</v>
      </c>
      <c r="C6" s="188" t="s">
        <v>485</v>
      </c>
      <c r="D6" s="11">
        <v>326593.39</v>
      </c>
      <c r="E6" s="9">
        <f>+D6</f>
        <v>326593.39</v>
      </c>
      <c r="F6" s="9"/>
      <c r="G6" s="9">
        <f t="shared" si="0"/>
        <v>0</v>
      </c>
      <c r="H6" s="9">
        <f>+D6</f>
        <v>326593.39</v>
      </c>
      <c r="I6" s="11"/>
      <c r="J6" s="88">
        <v>19046770</v>
      </c>
      <c r="K6" s="88"/>
    </row>
    <row r="7" spans="1:254" s="51" customFormat="1" ht="12" x14ac:dyDescent="0.2">
      <c r="A7" s="48">
        <v>43998</v>
      </c>
      <c r="B7" s="49" t="s">
        <v>573</v>
      </c>
      <c r="C7" s="188" t="s">
        <v>485</v>
      </c>
      <c r="D7" s="11"/>
      <c r="E7" s="9">
        <f>+D7</f>
        <v>0</v>
      </c>
      <c r="F7" s="9"/>
      <c r="G7" s="9">
        <f t="shared" si="0"/>
        <v>0</v>
      </c>
      <c r="H7" s="9">
        <f>+D7</f>
        <v>0</v>
      </c>
      <c r="I7" s="11">
        <v>4231.68</v>
      </c>
      <c r="J7" s="88">
        <v>19046770</v>
      </c>
      <c r="K7" s="88"/>
    </row>
    <row r="8" spans="1:254" s="51" customFormat="1" ht="12" x14ac:dyDescent="0.2">
      <c r="A8" s="48">
        <f>+A7</f>
        <v>43998</v>
      </c>
      <c r="B8" s="49" t="s">
        <v>574</v>
      </c>
      <c r="C8" s="188" t="s">
        <v>485</v>
      </c>
      <c r="D8" s="11">
        <v>-126356.4</v>
      </c>
      <c r="E8" s="9">
        <f>+D8</f>
        <v>-126356.4</v>
      </c>
      <c r="F8" s="9"/>
      <c r="G8" s="9">
        <f t="shared" si="0"/>
        <v>0</v>
      </c>
      <c r="H8" s="9">
        <f>+D8</f>
        <v>-126356.4</v>
      </c>
      <c r="I8" s="11"/>
      <c r="J8" s="88">
        <v>19046770</v>
      </c>
      <c r="K8" s="88">
        <v>4760</v>
      </c>
    </row>
    <row r="9" spans="1:254" s="51" customFormat="1" ht="12" x14ac:dyDescent="0.2">
      <c r="A9" s="48">
        <v>44012</v>
      </c>
      <c r="B9" s="49" t="s">
        <v>575</v>
      </c>
      <c r="C9" s="188" t="s">
        <v>485</v>
      </c>
      <c r="D9" s="11"/>
      <c r="E9" s="11"/>
      <c r="F9" s="11"/>
      <c r="G9" s="11">
        <f t="shared" si="0"/>
        <v>0</v>
      </c>
      <c r="H9" s="11"/>
      <c r="I9" s="11">
        <v>326593.39</v>
      </c>
      <c r="J9" s="88">
        <v>19046770</v>
      </c>
      <c r="K9" s="88"/>
    </row>
    <row r="10" spans="1:254" s="51" customFormat="1" ht="12" x14ac:dyDescent="0.2">
      <c r="A10" s="48">
        <v>44012</v>
      </c>
      <c r="B10" s="49" t="s">
        <v>576</v>
      </c>
      <c r="C10" s="188" t="s">
        <v>485</v>
      </c>
      <c r="D10" s="11">
        <v>103420.11</v>
      </c>
      <c r="E10" s="9">
        <f t="shared" ref="E10:E22" si="1">+D10</f>
        <v>103420.11</v>
      </c>
      <c r="F10" s="9"/>
      <c r="G10" s="9">
        <f t="shared" si="0"/>
        <v>0</v>
      </c>
      <c r="H10" s="9">
        <f t="shared" ref="H10:H22" si="2">+D10</f>
        <v>103420.11</v>
      </c>
      <c r="I10" s="11"/>
      <c r="J10" s="88">
        <v>19046770</v>
      </c>
      <c r="K10" s="88"/>
    </row>
    <row r="11" spans="1:254" s="51" customFormat="1" ht="12" x14ac:dyDescent="0.2">
      <c r="A11" s="48">
        <v>44012</v>
      </c>
      <c r="B11" s="49" t="s">
        <v>577</v>
      </c>
      <c r="C11" s="188" t="s">
        <v>485</v>
      </c>
      <c r="D11" s="11">
        <v>102689.86</v>
      </c>
      <c r="E11" s="11">
        <f t="shared" si="1"/>
        <v>102689.86</v>
      </c>
      <c r="F11" s="11"/>
      <c r="G11" s="9">
        <f t="shared" si="0"/>
        <v>0</v>
      </c>
      <c r="H11" s="11">
        <f t="shared" si="2"/>
        <v>102689.86</v>
      </c>
      <c r="I11" s="11"/>
      <c r="J11" s="88">
        <v>19046770</v>
      </c>
      <c r="K11" s="88">
        <v>4760</v>
      </c>
    </row>
    <row r="12" spans="1:254" s="51" customFormat="1" ht="12" x14ac:dyDescent="0.2">
      <c r="A12" s="48">
        <v>44043</v>
      </c>
      <c r="B12" s="157" t="s">
        <v>538</v>
      </c>
      <c r="C12" s="188" t="s">
        <v>200</v>
      </c>
      <c r="D12" s="11"/>
      <c r="E12" s="11">
        <f t="shared" si="1"/>
        <v>0</v>
      </c>
      <c r="F12" s="11"/>
      <c r="G12" s="9">
        <f t="shared" si="0"/>
        <v>0</v>
      </c>
      <c r="H12" s="11">
        <f t="shared" si="2"/>
        <v>0</v>
      </c>
      <c r="I12" s="190">
        <v>103420.11</v>
      </c>
      <c r="J12" s="88">
        <v>19046770</v>
      </c>
      <c r="K12" s="88">
        <v>4760</v>
      </c>
    </row>
    <row r="13" spans="1:254" s="51" customFormat="1" ht="12" x14ac:dyDescent="0.2">
      <c r="A13" s="48">
        <v>44061</v>
      </c>
      <c r="B13" s="157" t="s">
        <v>578</v>
      </c>
      <c r="C13" s="188" t="s">
        <v>485</v>
      </c>
      <c r="D13" s="11"/>
      <c r="E13" s="9">
        <f t="shared" si="1"/>
        <v>0</v>
      </c>
      <c r="F13" s="11"/>
      <c r="G13" s="9">
        <f t="shared" si="0"/>
        <v>0</v>
      </c>
      <c r="H13" s="9">
        <f t="shared" si="2"/>
        <v>0</v>
      </c>
      <c r="I13" s="11">
        <v>102689.86</v>
      </c>
      <c r="J13" s="88">
        <v>19046770</v>
      </c>
      <c r="K13" s="88">
        <v>4760</v>
      </c>
    </row>
    <row r="14" spans="1:254" s="51" customFormat="1" ht="12" x14ac:dyDescent="0.2">
      <c r="A14" s="48">
        <v>44088</v>
      </c>
      <c r="B14" s="49" t="s">
        <v>579</v>
      </c>
      <c r="C14" s="188" t="s">
        <v>200</v>
      </c>
      <c r="D14" s="11">
        <v>94989.440000000002</v>
      </c>
      <c r="E14" s="9">
        <f t="shared" si="1"/>
        <v>94989.440000000002</v>
      </c>
      <c r="F14" s="11"/>
      <c r="G14" s="9">
        <f t="shared" si="0"/>
        <v>0</v>
      </c>
      <c r="H14" s="9">
        <f t="shared" si="2"/>
        <v>94989.440000000002</v>
      </c>
      <c r="I14" s="11"/>
      <c r="J14" s="88">
        <v>19046770</v>
      </c>
      <c r="K14" s="88">
        <v>4760</v>
      </c>
    </row>
    <row r="15" spans="1:254" s="51" customFormat="1" ht="12" x14ac:dyDescent="0.2">
      <c r="A15" s="48">
        <v>44118</v>
      </c>
      <c r="B15" s="49" t="s">
        <v>580</v>
      </c>
      <c r="C15" s="188" t="s">
        <v>200</v>
      </c>
      <c r="D15" s="11">
        <v>65363.51</v>
      </c>
      <c r="E15" s="9">
        <f t="shared" si="1"/>
        <v>65363.51</v>
      </c>
      <c r="F15" s="11"/>
      <c r="G15" s="9">
        <f t="shared" si="0"/>
        <v>0</v>
      </c>
      <c r="H15" s="9">
        <f t="shared" si="2"/>
        <v>65363.51</v>
      </c>
      <c r="I15" s="11"/>
      <c r="J15" s="88">
        <v>19046770</v>
      </c>
      <c r="K15" s="88">
        <v>4760</v>
      </c>
    </row>
    <row r="16" spans="1:254" s="51" customFormat="1" ht="12" x14ac:dyDescent="0.2">
      <c r="A16" s="48">
        <v>44127</v>
      </c>
      <c r="B16" s="157" t="s">
        <v>581</v>
      </c>
      <c r="C16" s="188" t="s">
        <v>200</v>
      </c>
      <c r="E16" s="9">
        <f t="shared" si="1"/>
        <v>0</v>
      </c>
      <c r="F16" s="11"/>
      <c r="G16" s="9">
        <f t="shared" si="0"/>
        <v>0</v>
      </c>
      <c r="H16" s="9">
        <f t="shared" si="2"/>
        <v>0</v>
      </c>
      <c r="I16" s="11">
        <v>94989.440000000002</v>
      </c>
      <c r="J16" s="88">
        <v>19046770</v>
      </c>
      <c r="K16" s="88">
        <v>4760</v>
      </c>
    </row>
    <row r="17" spans="1:11" s="51" customFormat="1" ht="12" x14ac:dyDescent="0.2">
      <c r="A17" s="48">
        <v>44153</v>
      </c>
      <c r="B17" s="157" t="s">
        <v>441</v>
      </c>
      <c r="C17" s="188" t="s">
        <v>200</v>
      </c>
      <c r="D17" s="11"/>
      <c r="E17" s="9">
        <f t="shared" si="1"/>
        <v>0</v>
      </c>
      <c r="F17" s="11"/>
      <c r="G17" s="9">
        <f t="shared" si="0"/>
        <v>0</v>
      </c>
      <c r="H17" s="9">
        <f t="shared" si="2"/>
        <v>0</v>
      </c>
      <c r="I17" s="11">
        <v>65363.51</v>
      </c>
      <c r="J17" s="88">
        <v>19046770</v>
      </c>
      <c r="K17" s="88">
        <v>4760</v>
      </c>
    </row>
    <row r="18" spans="1:11" s="51" customFormat="1" ht="12" x14ac:dyDescent="0.2">
      <c r="A18" s="48">
        <v>44158</v>
      </c>
      <c r="B18" s="49" t="s">
        <v>582</v>
      </c>
      <c r="C18" s="188" t="s">
        <v>200</v>
      </c>
      <c r="D18" s="11">
        <v>67943.22</v>
      </c>
      <c r="E18" s="9">
        <f t="shared" si="1"/>
        <v>67943.22</v>
      </c>
      <c r="F18" s="11"/>
      <c r="G18" s="9">
        <f t="shared" si="0"/>
        <v>0</v>
      </c>
      <c r="H18" s="9">
        <f t="shared" si="2"/>
        <v>67943.22</v>
      </c>
      <c r="I18" s="11"/>
      <c r="J18" s="88">
        <v>19046770</v>
      </c>
      <c r="K18" s="88">
        <v>4760</v>
      </c>
    </row>
    <row r="19" spans="1:11" s="51" customFormat="1" ht="12" x14ac:dyDescent="0.2">
      <c r="A19" s="48">
        <v>44179</v>
      </c>
      <c r="B19" s="49" t="s">
        <v>583</v>
      </c>
      <c r="C19" s="188" t="s">
        <v>200</v>
      </c>
      <c r="D19" s="11">
        <v>9203.18</v>
      </c>
      <c r="E19" s="9">
        <f t="shared" si="1"/>
        <v>9203.18</v>
      </c>
      <c r="F19" s="11"/>
      <c r="G19" s="9">
        <f t="shared" si="0"/>
        <v>0</v>
      </c>
      <c r="H19" s="9">
        <f t="shared" si="2"/>
        <v>9203.18</v>
      </c>
      <c r="I19" s="11"/>
      <c r="J19" s="88">
        <v>19046770</v>
      </c>
      <c r="K19" s="88">
        <v>4760</v>
      </c>
    </row>
    <row r="20" spans="1:11" s="51" customFormat="1" ht="12" x14ac:dyDescent="0.2">
      <c r="A20" s="48">
        <v>44215</v>
      </c>
      <c r="B20" s="49" t="s">
        <v>584</v>
      </c>
      <c r="C20" s="188" t="s">
        <v>200</v>
      </c>
      <c r="D20" s="11">
        <v>36224.129999999997</v>
      </c>
      <c r="E20" s="9">
        <f t="shared" si="1"/>
        <v>36224.129999999997</v>
      </c>
      <c r="F20" s="11"/>
      <c r="G20" s="9">
        <f t="shared" si="0"/>
        <v>0</v>
      </c>
      <c r="H20" s="9">
        <f t="shared" si="2"/>
        <v>36224.129999999997</v>
      </c>
      <c r="I20" s="11"/>
      <c r="J20" s="88">
        <v>19046770</v>
      </c>
      <c r="K20" s="88">
        <v>4760</v>
      </c>
    </row>
    <row r="21" spans="1:11" s="51" customFormat="1" ht="12" x14ac:dyDescent="0.2">
      <c r="A21" s="191">
        <v>44224</v>
      </c>
      <c r="B21" s="192" t="s">
        <v>585</v>
      </c>
      <c r="C21" s="188" t="s">
        <v>200</v>
      </c>
      <c r="D21" s="11"/>
      <c r="E21" s="9">
        <f t="shared" si="1"/>
        <v>0</v>
      </c>
      <c r="F21" s="11"/>
      <c r="G21" s="9">
        <f t="shared" si="0"/>
        <v>0</v>
      </c>
      <c r="H21" s="9">
        <f t="shared" si="2"/>
        <v>0</v>
      </c>
      <c r="I21" s="193">
        <v>9203.18</v>
      </c>
      <c r="J21" s="194">
        <v>19046770</v>
      </c>
      <c r="K21" s="194">
        <v>4760</v>
      </c>
    </row>
    <row r="22" spans="1:11" s="51" customFormat="1" ht="12" x14ac:dyDescent="0.2">
      <c r="A22" s="48">
        <v>44239</v>
      </c>
      <c r="B22" s="49" t="s">
        <v>586</v>
      </c>
      <c r="C22" s="188" t="s">
        <v>200</v>
      </c>
      <c r="D22" s="11">
        <v>188.88</v>
      </c>
      <c r="E22" s="9">
        <f t="shared" si="1"/>
        <v>188.88</v>
      </c>
      <c r="F22" s="11"/>
      <c r="G22" s="9">
        <f t="shared" si="0"/>
        <v>0</v>
      </c>
      <c r="H22" s="9">
        <f t="shared" si="2"/>
        <v>188.88</v>
      </c>
      <c r="I22" s="11"/>
      <c r="J22" s="88">
        <v>19046770</v>
      </c>
      <c r="K22" s="88"/>
    </row>
    <row r="23" spans="1:11" s="51" customFormat="1" ht="12" x14ac:dyDescent="0.2">
      <c r="A23" s="48">
        <v>44250</v>
      </c>
      <c r="B23" s="157" t="s">
        <v>587</v>
      </c>
      <c r="C23" s="188" t="s">
        <v>200</v>
      </c>
      <c r="D23" s="11"/>
      <c r="E23" s="9"/>
      <c r="F23" s="11"/>
      <c r="G23" s="9">
        <f t="shared" si="0"/>
        <v>0</v>
      </c>
      <c r="H23" s="9"/>
      <c r="I23" s="11">
        <v>67943.22</v>
      </c>
      <c r="J23" s="88">
        <v>19046770</v>
      </c>
      <c r="K23" s="88">
        <v>4760</v>
      </c>
    </row>
    <row r="24" spans="1:11" s="51" customFormat="1" ht="12" x14ac:dyDescent="0.2">
      <c r="A24" s="48">
        <v>44253</v>
      </c>
      <c r="B24" s="157" t="s">
        <v>588</v>
      </c>
      <c r="C24" s="188" t="s">
        <v>200</v>
      </c>
      <c r="D24" s="11"/>
      <c r="E24" s="9">
        <f t="shared" ref="E24:E35" si="3">+D24</f>
        <v>0</v>
      </c>
      <c r="F24" s="11"/>
      <c r="G24" s="9">
        <f t="shared" si="0"/>
        <v>0</v>
      </c>
      <c r="H24" s="9">
        <f t="shared" ref="H24:H35" si="4">+D24</f>
        <v>0</v>
      </c>
      <c r="I24" s="11">
        <v>36224.129999999997</v>
      </c>
      <c r="J24" s="88">
        <v>19046770</v>
      </c>
      <c r="K24" s="88">
        <v>4760</v>
      </c>
    </row>
    <row r="25" spans="1:11" s="51" customFormat="1" ht="12" x14ac:dyDescent="0.2">
      <c r="A25" s="48">
        <v>44265</v>
      </c>
      <c r="B25" s="157" t="s">
        <v>589</v>
      </c>
      <c r="C25" s="188" t="s">
        <v>200</v>
      </c>
      <c r="D25" s="11"/>
      <c r="E25" s="9">
        <f t="shared" si="3"/>
        <v>0</v>
      </c>
      <c r="F25" s="11"/>
      <c r="G25" s="9">
        <f t="shared" si="0"/>
        <v>0</v>
      </c>
      <c r="H25" s="9">
        <f t="shared" si="4"/>
        <v>0</v>
      </c>
      <c r="I25" s="11">
        <v>188.88</v>
      </c>
      <c r="J25" s="88">
        <v>19046770</v>
      </c>
      <c r="K25" s="88">
        <v>4760</v>
      </c>
    </row>
    <row r="26" spans="1:11" s="51" customFormat="1" ht="12" x14ac:dyDescent="0.2">
      <c r="A26" s="48">
        <v>44272</v>
      </c>
      <c r="B26" s="49" t="s">
        <v>590</v>
      </c>
      <c r="C26" s="188" t="s">
        <v>200</v>
      </c>
      <c r="D26" s="11">
        <v>99037.81</v>
      </c>
      <c r="E26" s="9">
        <f t="shared" si="3"/>
        <v>99037.81</v>
      </c>
      <c r="F26" s="11"/>
      <c r="G26" s="9">
        <f t="shared" si="0"/>
        <v>0</v>
      </c>
      <c r="H26" s="9">
        <f t="shared" si="4"/>
        <v>99037.81</v>
      </c>
      <c r="I26" s="11"/>
      <c r="J26" s="88">
        <v>19046770</v>
      </c>
      <c r="K26" s="88">
        <v>4760</v>
      </c>
    </row>
    <row r="27" spans="1:11" s="51" customFormat="1" ht="12" x14ac:dyDescent="0.2">
      <c r="A27" s="48">
        <v>44305</v>
      </c>
      <c r="B27" s="49" t="s">
        <v>591</v>
      </c>
      <c r="C27" s="188" t="s">
        <v>200</v>
      </c>
      <c r="D27" s="11">
        <v>43492.63</v>
      </c>
      <c r="E27" s="9">
        <f t="shared" si="3"/>
        <v>43492.63</v>
      </c>
      <c r="F27" s="11"/>
      <c r="G27" s="9">
        <f t="shared" si="0"/>
        <v>0</v>
      </c>
      <c r="H27" s="9">
        <f t="shared" si="4"/>
        <v>43492.63</v>
      </c>
      <c r="I27" s="11"/>
      <c r="J27" s="88">
        <v>19046770</v>
      </c>
      <c r="K27" s="88">
        <v>4760</v>
      </c>
    </row>
    <row r="28" spans="1:11" s="51" customFormat="1" ht="12" x14ac:dyDescent="0.2">
      <c r="A28" s="48">
        <v>44307</v>
      </c>
      <c r="B28" s="49" t="s">
        <v>592</v>
      </c>
      <c r="C28" s="188" t="s">
        <v>485</v>
      </c>
      <c r="D28" s="11">
        <v>7240.76</v>
      </c>
      <c r="E28" s="9">
        <f t="shared" si="3"/>
        <v>7240.76</v>
      </c>
      <c r="F28" s="11"/>
      <c r="G28" s="9">
        <f t="shared" si="0"/>
        <v>0</v>
      </c>
      <c r="H28" s="9">
        <f t="shared" si="4"/>
        <v>7240.76</v>
      </c>
      <c r="I28" s="11"/>
      <c r="J28" s="88">
        <v>19046770</v>
      </c>
      <c r="K28" s="88">
        <v>4760</v>
      </c>
    </row>
    <row r="29" spans="1:11" s="51" customFormat="1" ht="12" x14ac:dyDescent="0.2">
      <c r="A29" s="48">
        <v>44309</v>
      </c>
      <c r="B29" s="157" t="s">
        <v>593</v>
      </c>
      <c r="C29" s="188" t="s">
        <v>200</v>
      </c>
      <c r="D29" s="158"/>
      <c r="E29" s="9">
        <f t="shared" si="3"/>
        <v>0</v>
      </c>
      <c r="F29" s="11"/>
      <c r="G29" s="9">
        <f t="shared" si="0"/>
        <v>0</v>
      </c>
      <c r="H29" s="9">
        <f t="shared" si="4"/>
        <v>0</v>
      </c>
      <c r="I29" s="11">
        <v>99037.81</v>
      </c>
      <c r="J29" s="88">
        <v>19046770</v>
      </c>
      <c r="K29" s="88">
        <v>4760</v>
      </c>
    </row>
    <row r="30" spans="1:11" s="51" customFormat="1" ht="12" x14ac:dyDescent="0.2">
      <c r="A30" s="48">
        <v>44335</v>
      </c>
      <c r="B30" s="49" t="s">
        <v>594</v>
      </c>
      <c r="C30" s="188" t="s">
        <v>200</v>
      </c>
      <c r="D30" s="11">
        <v>3512.5</v>
      </c>
      <c r="E30" s="9">
        <f t="shared" si="3"/>
        <v>3512.5</v>
      </c>
      <c r="F30" s="11"/>
      <c r="G30" s="9">
        <f t="shared" si="0"/>
        <v>0</v>
      </c>
      <c r="H30" s="9">
        <f t="shared" si="4"/>
        <v>3512.5</v>
      </c>
      <c r="I30" s="11"/>
      <c r="J30" s="88">
        <v>19046770</v>
      </c>
      <c r="K30" s="88">
        <v>4760</v>
      </c>
    </row>
    <row r="31" spans="1:11" s="51" customFormat="1" ht="12" x14ac:dyDescent="0.2">
      <c r="A31" s="48">
        <v>44337</v>
      </c>
      <c r="B31" s="157" t="s">
        <v>595</v>
      </c>
      <c r="C31" s="188" t="s">
        <v>200</v>
      </c>
      <c r="D31" s="11"/>
      <c r="E31" s="9">
        <f t="shared" si="3"/>
        <v>0</v>
      </c>
      <c r="F31" s="11"/>
      <c r="G31" s="9">
        <f t="shared" si="0"/>
        <v>0</v>
      </c>
      <c r="H31" s="9">
        <f t="shared" si="4"/>
        <v>0</v>
      </c>
      <c r="I31" s="11">
        <v>43492.63</v>
      </c>
      <c r="J31" s="88">
        <v>19046770</v>
      </c>
      <c r="K31" s="88">
        <v>4760</v>
      </c>
    </row>
    <row r="32" spans="1:11" s="51" customFormat="1" ht="12" x14ac:dyDescent="0.2">
      <c r="A32" s="48">
        <v>44361</v>
      </c>
      <c r="B32" s="49" t="s">
        <v>596</v>
      </c>
      <c r="C32" s="188" t="s">
        <v>485</v>
      </c>
      <c r="D32" s="11">
        <v>18803.63</v>
      </c>
      <c r="E32" s="9">
        <f t="shared" si="3"/>
        <v>18803.63</v>
      </c>
      <c r="F32" s="11"/>
      <c r="G32" s="9">
        <f t="shared" si="0"/>
        <v>0</v>
      </c>
      <c r="H32" s="9">
        <f t="shared" si="4"/>
        <v>18803.63</v>
      </c>
      <c r="I32" s="11"/>
      <c r="J32" s="88">
        <v>19046770</v>
      </c>
      <c r="K32" s="88">
        <v>4760</v>
      </c>
    </row>
    <row r="33" spans="1:11" s="51" customFormat="1" ht="12" x14ac:dyDescent="0.2">
      <c r="A33" s="48">
        <v>44370</v>
      </c>
      <c r="B33" s="157" t="s">
        <v>597</v>
      </c>
      <c r="C33" s="188" t="s">
        <v>485</v>
      </c>
      <c r="D33" s="11"/>
      <c r="E33" s="9">
        <f t="shared" si="3"/>
        <v>0</v>
      </c>
      <c r="F33" s="11"/>
      <c r="G33" s="9">
        <f t="shared" si="0"/>
        <v>0</v>
      </c>
      <c r="H33" s="9">
        <f t="shared" si="4"/>
        <v>0</v>
      </c>
      <c r="I33" s="11">
        <v>3512.5</v>
      </c>
      <c r="J33" s="88">
        <v>19046770</v>
      </c>
      <c r="K33" s="88">
        <v>4760</v>
      </c>
    </row>
    <row r="34" spans="1:11" s="51" customFormat="1" ht="12" x14ac:dyDescent="0.2">
      <c r="A34" s="48">
        <v>44377</v>
      </c>
      <c r="B34" s="157" t="s">
        <v>598</v>
      </c>
      <c r="C34" s="188" t="s">
        <v>485</v>
      </c>
      <c r="D34" s="11"/>
      <c r="E34" s="9">
        <f t="shared" si="3"/>
        <v>0</v>
      </c>
      <c r="F34" s="11"/>
      <c r="G34" s="9">
        <f t="shared" ref="G34:G64" si="5">IF(J34&gt;0,0,F34)</f>
        <v>0</v>
      </c>
      <c r="H34" s="9">
        <f t="shared" si="4"/>
        <v>0</v>
      </c>
      <c r="I34" s="11">
        <v>18803.63</v>
      </c>
      <c r="J34" s="88">
        <v>19046770</v>
      </c>
      <c r="K34" s="88">
        <v>4760</v>
      </c>
    </row>
    <row r="35" spans="1:11" s="51" customFormat="1" ht="12" x14ac:dyDescent="0.2">
      <c r="A35" s="48">
        <v>44377</v>
      </c>
      <c r="B35" s="49" t="s">
        <v>599</v>
      </c>
      <c r="C35" s="188" t="s">
        <v>485</v>
      </c>
      <c r="D35" s="11">
        <v>707.28</v>
      </c>
      <c r="E35" s="9">
        <f t="shared" si="3"/>
        <v>707.28</v>
      </c>
      <c r="F35" s="11"/>
      <c r="G35" s="9">
        <f t="shared" si="5"/>
        <v>0</v>
      </c>
      <c r="H35" s="9">
        <f t="shared" si="4"/>
        <v>707.28</v>
      </c>
      <c r="I35" s="11"/>
      <c r="J35" s="88">
        <v>19046770</v>
      </c>
      <c r="K35" s="88">
        <v>4760</v>
      </c>
    </row>
    <row r="36" spans="1:11" s="51" customFormat="1" ht="12" x14ac:dyDescent="0.2">
      <c r="A36" s="48">
        <v>44420</v>
      </c>
      <c r="B36" s="157" t="s">
        <v>494</v>
      </c>
      <c r="C36" s="188" t="s">
        <v>200</v>
      </c>
      <c r="E36" s="9"/>
      <c r="F36" s="11"/>
      <c r="G36" s="9">
        <f t="shared" si="5"/>
        <v>0</v>
      </c>
      <c r="H36" s="9"/>
      <c r="I36" s="11">
        <v>707.28</v>
      </c>
      <c r="J36" s="88">
        <v>19046770</v>
      </c>
      <c r="K36" s="88">
        <v>4760</v>
      </c>
    </row>
    <row r="37" spans="1:11" s="51" customFormat="1" ht="12" x14ac:dyDescent="0.2">
      <c r="A37" s="48">
        <v>44420</v>
      </c>
      <c r="B37" s="157" t="s">
        <v>495</v>
      </c>
      <c r="C37" s="188" t="s">
        <v>200</v>
      </c>
      <c r="E37" s="9"/>
      <c r="F37" s="11"/>
      <c r="G37" s="9">
        <f t="shared" si="5"/>
        <v>0</v>
      </c>
      <c r="H37" s="9"/>
      <c r="I37" s="11">
        <v>7240.76</v>
      </c>
      <c r="J37" s="88">
        <v>19046770</v>
      </c>
      <c r="K37" s="88">
        <v>4760</v>
      </c>
    </row>
    <row r="38" spans="1:11" s="51" customFormat="1" ht="12" x14ac:dyDescent="0.2">
      <c r="A38" s="48">
        <v>44453</v>
      </c>
      <c r="B38" s="49" t="s">
        <v>600</v>
      </c>
      <c r="C38" s="188" t="s">
        <v>200</v>
      </c>
      <c r="D38" s="158">
        <v>5000.8500000000004</v>
      </c>
      <c r="E38" s="9">
        <f t="shared" ref="E38:E64" si="6">+D38</f>
        <v>5000.8500000000004</v>
      </c>
      <c r="F38" s="11"/>
      <c r="G38" s="9">
        <f t="shared" si="5"/>
        <v>0</v>
      </c>
      <c r="H38" s="9">
        <f t="shared" ref="H38:H47" si="7">+D38</f>
        <v>5000.8500000000004</v>
      </c>
      <c r="I38" s="11"/>
      <c r="J38" s="88">
        <v>19046770</v>
      </c>
      <c r="K38" s="88">
        <v>4760</v>
      </c>
    </row>
    <row r="39" spans="1:11" s="51" customFormat="1" ht="12" x14ac:dyDescent="0.2">
      <c r="A39" s="48">
        <v>44494</v>
      </c>
      <c r="B39" s="157" t="s">
        <v>506</v>
      </c>
      <c r="C39" s="188" t="s">
        <v>200</v>
      </c>
      <c r="D39" s="158"/>
      <c r="E39" s="9">
        <f t="shared" si="6"/>
        <v>0</v>
      </c>
      <c r="F39" s="11"/>
      <c r="G39" s="9">
        <f t="shared" si="5"/>
        <v>0</v>
      </c>
      <c r="H39" s="9">
        <f t="shared" si="7"/>
        <v>0</v>
      </c>
      <c r="I39" s="11">
        <v>5000.8500000000004</v>
      </c>
      <c r="J39" s="88">
        <v>19046770</v>
      </c>
      <c r="K39" s="88">
        <v>4760</v>
      </c>
    </row>
    <row r="40" spans="1:11" s="51" customFormat="1" ht="12" x14ac:dyDescent="0.2">
      <c r="A40" s="48">
        <v>44551</v>
      </c>
      <c r="B40" s="49" t="s">
        <v>601</v>
      </c>
      <c r="C40" s="188" t="s">
        <v>200</v>
      </c>
      <c r="D40" s="158">
        <v>311.18</v>
      </c>
      <c r="E40" s="9">
        <f t="shared" si="6"/>
        <v>311.18</v>
      </c>
      <c r="F40" s="11"/>
      <c r="G40" s="9">
        <f t="shared" si="5"/>
        <v>0</v>
      </c>
      <c r="H40" s="9">
        <f t="shared" si="7"/>
        <v>311.18</v>
      </c>
      <c r="I40" s="11"/>
      <c r="J40" s="88">
        <v>19046770</v>
      </c>
      <c r="K40" s="88">
        <v>4760</v>
      </c>
    </row>
    <row r="41" spans="1:11" s="51" customFormat="1" ht="12" x14ac:dyDescent="0.2">
      <c r="A41" s="48">
        <v>44581</v>
      </c>
      <c r="B41" s="49" t="s">
        <v>602</v>
      </c>
      <c r="C41" s="188" t="s">
        <v>200</v>
      </c>
      <c r="D41" s="158">
        <v>289.13</v>
      </c>
      <c r="E41" s="9">
        <f t="shared" si="6"/>
        <v>289.13</v>
      </c>
      <c r="F41" s="11"/>
      <c r="G41" s="9">
        <f t="shared" si="5"/>
        <v>0</v>
      </c>
      <c r="H41" s="9">
        <f t="shared" si="7"/>
        <v>289.13</v>
      </c>
      <c r="I41" s="11"/>
      <c r="J41" s="88">
        <v>19046770</v>
      </c>
      <c r="K41" s="88">
        <v>4760</v>
      </c>
    </row>
    <row r="42" spans="1:11" s="51" customFormat="1" ht="12" x14ac:dyDescent="0.2">
      <c r="A42" s="48">
        <v>44617</v>
      </c>
      <c r="B42" s="157" t="s">
        <v>514</v>
      </c>
      <c r="C42" s="188" t="s">
        <v>200</v>
      </c>
      <c r="E42" s="9">
        <f t="shared" si="6"/>
        <v>0</v>
      </c>
      <c r="F42" s="11"/>
      <c r="G42" s="9">
        <f t="shared" si="5"/>
        <v>0</v>
      </c>
      <c r="H42" s="9">
        <f t="shared" si="7"/>
        <v>0</v>
      </c>
      <c r="I42" s="11">
        <v>289.13</v>
      </c>
      <c r="J42" s="88">
        <v>19046770</v>
      </c>
      <c r="K42" s="88">
        <v>4760</v>
      </c>
    </row>
    <row r="43" spans="1:11" s="51" customFormat="1" ht="12" x14ac:dyDescent="0.2">
      <c r="A43" s="48">
        <v>44634</v>
      </c>
      <c r="B43" s="49" t="s">
        <v>603</v>
      </c>
      <c r="C43" s="188" t="s">
        <v>200</v>
      </c>
      <c r="D43" s="195">
        <v>73.16</v>
      </c>
      <c r="E43" s="196">
        <f t="shared" si="6"/>
        <v>73.16</v>
      </c>
      <c r="F43" s="197"/>
      <c r="G43" s="9">
        <f t="shared" si="5"/>
        <v>0</v>
      </c>
      <c r="H43" s="196">
        <f t="shared" si="7"/>
        <v>73.16</v>
      </c>
      <c r="I43" s="197"/>
      <c r="J43" s="88">
        <v>19046770</v>
      </c>
      <c r="K43" s="88">
        <v>4760</v>
      </c>
    </row>
    <row r="44" spans="1:11" s="51" customFormat="1" ht="12" x14ac:dyDescent="0.2">
      <c r="A44" s="48">
        <v>44692</v>
      </c>
      <c r="B44" s="49" t="s">
        <v>604</v>
      </c>
      <c r="C44" s="188" t="s">
        <v>200</v>
      </c>
      <c r="D44" s="158">
        <v>8670.8700000000008</v>
      </c>
      <c r="E44" s="9">
        <f t="shared" si="6"/>
        <v>8670.8700000000008</v>
      </c>
      <c r="F44" s="11"/>
      <c r="G44" s="9">
        <f t="shared" si="5"/>
        <v>0</v>
      </c>
      <c r="H44" s="9">
        <f t="shared" si="7"/>
        <v>8670.8700000000008</v>
      </c>
      <c r="I44" s="11"/>
      <c r="J44" s="88">
        <v>19046770</v>
      </c>
      <c r="K44" s="88">
        <v>4760</v>
      </c>
    </row>
    <row r="45" spans="1:11" s="51" customFormat="1" ht="12" x14ac:dyDescent="0.2">
      <c r="A45" s="48">
        <v>44693</v>
      </c>
      <c r="B45" s="157" t="s">
        <v>605</v>
      </c>
      <c r="C45" s="188" t="s">
        <v>200</v>
      </c>
      <c r="D45" s="158"/>
      <c r="E45" s="9">
        <f t="shared" si="6"/>
        <v>0</v>
      </c>
      <c r="F45" s="11"/>
      <c r="G45" s="9">
        <f t="shared" si="5"/>
        <v>0</v>
      </c>
      <c r="H45" s="9">
        <f t="shared" si="7"/>
        <v>0</v>
      </c>
      <c r="I45" s="11">
        <v>73.16</v>
      </c>
      <c r="J45" s="88">
        <v>19046770</v>
      </c>
      <c r="K45" s="88">
        <v>4760</v>
      </c>
    </row>
    <row r="46" spans="1:11" s="51" customFormat="1" ht="12" x14ac:dyDescent="0.2">
      <c r="A46" s="48">
        <v>44713</v>
      </c>
      <c r="B46" s="49" t="s">
        <v>606</v>
      </c>
      <c r="C46" s="188" t="s">
        <v>485</v>
      </c>
      <c r="D46" s="195">
        <v>345.55</v>
      </c>
      <c r="E46" s="9">
        <f t="shared" si="6"/>
        <v>345.55</v>
      </c>
      <c r="G46" s="9">
        <f t="shared" si="5"/>
        <v>0</v>
      </c>
      <c r="H46" s="195">
        <f t="shared" si="7"/>
        <v>345.55</v>
      </c>
      <c r="I46" s="11"/>
      <c r="J46" s="88">
        <v>19046770</v>
      </c>
      <c r="K46" s="88">
        <v>4760</v>
      </c>
    </row>
    <row r="47" spans="1:11" s="51" customFormat="1" ht="12" x14ac:dyDescent="0.2">
      <c r="A47" s="48">
        <v>44735</v>
      </c>
      <c r="B47" s="157" t="s">
        <v>522</v>
      </c>
      <c r="C47" s="188" t="s">
        <v>485</v>
      </c>
      <c r="D47" s="195"/>
      <c r="E47" s="9">
        <f t="shared" si="6"/>
        <v>0</v>
      </c>
      <c r="G47" s="9">
        <f t="shared" si="5"/>
        <v>0</v>
      </c>
      <c r="H47" s="195">
        <f t="shared" si="7"/>
        <v>0</v>
      </c>
      <c r="I47" s="11">
        <v>8670.8700000000008</v>
      </c>
      <c r="J47" s="88">
        <v>19046770</v>
      </c>
      <c r="K47" s="88">
        <v>4760</v>
      </c>
    </row>
    <row r="48" spans="1:11" s="51" customFormat="1" ht="12" x14ac:dyDescent="0.2">
      <c r="A48" s="48">
        <v>44790</v>
      </c>
      <c r="B48" s="157" t="s">
        <v>607</v>
      </c>
      <c r="C48" s="188" t="s">
        <v>200</v>
      </c>
      <c r="D48" s="158"/>
      <c r="E48" s="9">
        <f t="shared" si="6"/>
        <v>0</v>
      </c>
      <c r="G48" s="9">
        <f t="shared" si="5"/>
        <v>0</v>
      </c>
      <c r="H48" s="195"/>
      <c r="I48" s="11">
        <v>345.55</v>
      </c>
      <c r="J48" s="88">
        <v>19046770</v>
      </c>
      <c r="K48" s="88">
        <v>4760</v>
      </c>
    </row>
    <row r="49" spans="1:12" s="51" customFormat="1" ht="12" x14ac:dyDescent="0.2">
      <c r="A49" s="48">
        <v>44820</v>
      </c>
      <c r="B49" s="49" t="s">
        <v>608</v>
      </c>
      <c r="C49" s="188" t="s">
        <v>200</v>
      </c>
      <c r="D49" s="158">
        <v>29889.8</v>
      </c>
      <c r="E49" s="9">
        <f t="shared" si="6"/>
        <v>29889.8</v>
      </c>
      <c r="G49" s="9">
        <f t="shared" si="5"/>
        <v>0</v>
      </c>
      <c r="H49" s="195">
        <f t="shared" ref="H49:H64" si="8">+D49</f>
        <v>29889.8</v>
      </c>
      <c r="I49" s="11"/>
      <c r="J49" s="88">
        <v>19046770</v>
      </c>
      <c r="K49" s="88">
        <v>4760</v>
      </c>
    </row>
    <row r="50" spans="1:12" s="51" customFormat="1" ht="12" x14ac:dyDescent="0.2">
      <c r="A50" s="48">
        <v>44855</v>
      </c>
      <c r="B50" s="157" t="s">
        <v>609</v>
      </c>
      <c r="C50" s="188" t="s">
        <v>200</v>
      </c>
      <c r="D50" s="158"/>
      <c r="E50" s="9">
        <f t="shared" si="6"/>
        <v>0</v>
      </c>
      <c r="G50" s="9">
        <f t="shared" si="5"/>
        <v>0</v>
      </c>
      <c r="H50" s="9">
        <f t="shared" si="8"/>
        <v>0</v>
      </c>
      <c r="I50" s="11">
        <v>29889.8</v>
      </c>
      <c r="J50" s="88">
        <v>19046770</v>
      </c>
      <c r="K50" s="88">
        <v>4760</v>
      </c>
    </row>
    <row r="51" spans="1:12" s="51" customFormat="1" ht="12" x14ac:dyDescent="0.2">
      <c r="A51" s="48">
        <v>44886</v>
      </c>
      <c r="B51" s="49" t="s">
        <v>610</v>
      </c>
      <c r="C51" s="188" t="s">
        <v>200</v>
      </c>
      <c r="D51" s="195">
        <v>6710.58</v>
      </c>
      <c r="E51" s="9">
        <f t="shared" si="6"/>
        <v>6710.58</v>
      </c>
      <c r="G51" s="9">
        <f t="shared" si="5"/>
        <v>0</v>
      </c>
      <c r="H51" s="195">
        <f t="shared" si="8"/>
        <v>6710.58</v>
      </c>
      <c r="I51" s="11"/>
      <c r="J51" s="88">
        <v>19046770</v>
      </c>
      <c r="K51" s="88">
        <v>4760</v>
      </c>
    </row>
    <row r="52" spans="1:12" s="51" customFormat="1" ht="12" x14ac:dyDescent="0.2">
      <c r="A52" s="48">
        <v>44950</v>
      </c>
      <c r="B52" s="157" t="s">
        <v>611</v>
      </c>
      <c r="C52" s="188" t="s">
        <v>200</v>
      </c>
      <c r="D52" s="195"/>
      <c r="E52" s="195">
        <f t="shared" si="6"/>
        <v>0</v>
      </c>
      <c r="F52" s="195"/>
      <c r="G52" s="9">
        <f t="shared" si="5"/>
        <v>0</v>
      </c>
      <c r="H52" s="9">
        <f t="shared" si="8"/>
        <v>0</v>
      </c>
      <c r="I52" s="195">
        <v>5259.03</v>
      </c>
      <c r="J52" s="88">
        <v>19046770</v>
      </c>
      <c r="K52" s="88">
        <v>4760</v>
      </c>
    </row>
    <row r="53" spans="1:12" s="51" customFormat="1" ht="12" x14ac:dyDescent="0.2">
      <c r="A53" s="48">
        <v>44953</v>
      </c>
      <c r="B53" s="157" t="s">
        <v>612</v>
      </c>
      <c r="C53" s="188" t="s">
        <v>200</v>
      </c>
      <c r="D53" s="195"/>
      <c r="E53" s="195">
        <f t="shared" si="6"/>
        <v>0</v>
      </c>
      <c r="F53" s="195"/>
      <c r="G53" s="9">
        <f t="shared" si="5"/>
        <v>0</v>
      </c>
      <c r="H53" s="9">
        <f t="shared" si="8"/>
        <v>0</v>
      </c>
      <c r="I53" s="195">
        <v>6710.58</v>
      </c>
      <c r="J53" s="88">
        <v>19046770</v>
      </c>
      <c r="K53" s="88">
        <v>4760</v>
      </c>
    </row>
    <row r="54" spans="1:12" s="51" customFormat="1" ht="12" x14ac:dyDescent="0.2">
      <c r="A54" s="48">
        <v>44986</v>
      </c>
      <c r="B54" s="49" t="s">
        <v>613</v>
      </c>
      <c r="C54" s="188" t="s">
        <v>200</v>
      </c>
      <c r="D54" s="195">
        <v>3362.17</v>
      </c>
      <c r="E54" s="195">
        <f t="shared" si="6"/>
        <v>3362.17</v>
      </c>
      <c r="F54" s="195"/>
      <c r="G54" s="9">
        <f t="shared" si="5"/>
        <v>0</v>
      </c>
      <c r="H54" s="195">
        <f t="shared" si="8"/>
        <v>3362.17</v>
      </c>
      <c r="I54" s="197"/>
      <c r="J54" s="88">
        <v>19046770</v>
      </c>
      <c r="K54" s="88">
        <v>4760</v>
      </c>
    </row>
    <row r="55" spans="1:12" s="51" customFormat="1" ht="12" x14ac:dyDescent="0.2">
      <c r="A55" s="48">
        <v>45026</v>
      </c>
      <c r="B55" s="157" t="s">
        <v>614</v>
      </c>
      <c r="C55" s="188" t="s">
        <v>200</v>
      </c>
      <c r="D55" s="158"/>
      <c r="E55" s="9">
        <f t="shared" si="6"/>
        <v>0</v>
      </c>
      <c r="G55" s="9">
        <f t="shared" si="5"/>
        <v>0</v>
      </c>
      <c r="H55" s="9">
        <f t="shared" si="8"/>
        <v>0</v>
      </c>
      <c r="I55" s="11">
        <v>3362.17</v>
      </c>
      <c r="J55" s="88">
        <v>19046770</v>
      </c>
      <c r="K55" s="88">
        <v>4760</v>
      </c>
    </row>
    <row r="56" spans="1:12" s="51" customFormat="1" ht="12" x14ac:dyDescent="0.2">
      <c r="A56" s="48">
        <v>45093</v>
      </c>
      <c r="B56" s="49" t="s">
        <v>615</v>
      </c>
      <c r="C56" s="188" t="s">
        <v>200</v>
      </c>
      <c r="D56" s="198">
        <v>1764.07</v>
      </c>
      <c r="E56" s="9">
        <f t="shared" si="6"/>
        <v>1764.07</v>
      </c>
      <c r="G56" s="9">
        <f t="shared" si="5"/>
        <v>0</v>
      </c>
      <c r="H56" s="195">
        <f t="shared" si="8"/>
        <v>1764.07</v>
      </c>
      <c r="I56" s="11"/>
      <c r="J56" s="88">
        <v>19046770</v>
      </c>
      <c r="K56" s="88">
        <v>4760</v>
      </c>
    </row>
    <row r="57" spans="1:12" s="51" customFormat="1" ht="12" x14ac:dyDescent="0.2">
      <c r="A57" s="48">
        <v>45107</v>
      </c>
      <c r="B57" s="49" t="s">
        <v>616</v>
      </c>
      <c r="C57" s="188" t="s">
        <v>200</v>
      </c>
      <c r="D57" s="158">
        <v>2429.0100000000002</v>
      </c>
      <c r="E57" s="9">
        <f t="shared" si="6"/>
        <v>2429.0100000000002</v>
      </c>
      <c r="G57" s="9">
        <f t="shared" si="5"/>
        <v>0</v>
      </c>
      <c r="H57" s="195">
        <f t="shared" si="8"/>
        <v>2429.0100000000002</v>
      </c>
      <c r="I57" s="11"/>
      <c r="J57" s="88">
        <v>19046770</v>
      </c>
      <c r="K57" s="88">
        <v>4760</v>
      </c>
    </row>
    <row r="58" spans="1:12" s="51" customFormat="1" ht="12" x14ac:dyDescent="0.2">
      <c r="A58" s="48">
        <v>45112</v>
      </c>
      <c r="B58" s="157" t="s">
        <v>551</v>
      </c>
      <c r="C58" s="188" t="s">
        <v>200</v>
      </c>
      <c r="D58" s="158"/>
      <c r="E58" s="9">
        <f t="shared" si="6"/>
        <v>0</v>
      </c>
      <c r="G58" s="9">
        <f t="shared" si="5"/>
        <v>0</v>
      </c>
      <c r="H58" s="9">
        <f t="shared" si="8"/>
        <v>0</v>
      </c>
      <c r="I58" s="11">
        <v>1764.07</v>
      </c>
      <c r="J58" s="88">
        <v>19046770</v>
      </c>
      <c r="K58" s="88">
        <v>4760</v>
      </c>
    </row>
    <row r="59" spans="1:12" s="51" customFormat="1" ht="12" x14ac:dyDescent="0.2">
      <c r="A59" s="48">
        <v>45155</v>
      </c>
      <c r="B59" s="157" t="s">
        <v>553</v>
      </c>
      <c r="C59" s="188" t="s">
        <v>200</v>
      </c>
      <c r="D59" s="158"/>
      <c r="E59" s="9">
        <f t="shared" si="6"/>
        <v>0</v>
      </c>
      <c r="G59" s="9">
        <f t="shared" si="5"/>
        <v>0</v>
      </c>
      <c r="H59" s="9">
        <f t="shared" si="8"/>
        <v>0</v>
      </c>
      <c r="I59" s="11">
        <v>2429.0100000000002</v>
      </c>
      <c r="J59" s="88">
        <v>19046770</v>
      </c>
      <c r="K59" s="88">
        <v>4760</v>
      </c>
    </row>
    <row r="60" spans="1:12" s="51" customFormat="1" ht="12" x14ac:dyDescent="0.2">
      <c r="A60" s="48">
        <v>45183</v>
      </c>
      <c r="B60" s="49" t="s">
        <v>617</v>
      </c>
      <c r="C60" s="188" t="s">
        <v>200</v>
      </c>
      <c r="D60" s="158">
        <v>11257.61</v>
      </c>
      <c r="E60" s="9">
        <f t="shared" si="6"/>
        <v>11257.61</v>
      </c>
      <c r="G60" s="9">
        <f t="shared" si="5"/>
        <v>0</v>
      </c>
      <c r="H60" s="195">
        <f t="shared" si="8"/>
        <v>11257.61</v>
      </c>
      <c r="I60" s="11"/>
      <c r="J60" s="88">
        <v>19046770</v>
      </c>
      <c r="K60" s="88">
        <v>4760</v>
      </c>
    </row>
    <row r="61" spans="1:12" s="51" customFormat="1" ht="12" x14ac:dyDescent="0.2">
      <c r="A61" s="48">
        <v>45229</v>
      </c>
      <c r="B61" s="157" t="s">
        <v>559</v>
      </c>
      <c r="C61" s="188" t="s">
        <v>200</v>
      </c>
      <c r="D61" s="158"/>
      <c r="E61" s="9">
        <f t="shared" si="6"/>
        <v>0</v>
      </c>
      <c r="G61" s="9">
        <f t="shared" si="5"/>
        <v>0</v>
      </c>
      <c r="H61" s="9">
        <f t="shared" si="8"/>
        <v>0</v>
      </c>
      <c r="I61" s="11">
        <v>11257.61</v>
      </c>
      <c r="J61" s="88">
        <v>19046770</v>
      </c>
      <c r="K61" s="88">
        <v>4760</v>
      </c>
    </row>
    <row r="62" spans="1:12" s="51" customFormat="1" ht="12" x14ac:dyDescent="0.2">
      <c r="A62" s="48">
        <v>45279</v>
      </c>
      <c r="B62" s="49" t="s">
        <v>618</v>
      </c>
      <c r="C62" s="188" t="s">
        <v>200</v>
      </c>
      <c r="D62" s="195">
        <v>5259.03</v>
      </c>
      <c r="E62" s="9">
        <f t="shared" si="6"/>
        <v>5259.03</v>
      </c>
      <c r="F62" s="195"/>
      <c r="G62" s="9">
        <f t="shared" si="5"/>
        <v>0</v>
      </c>
      <c r="H62" s="195">
        <f t="shared" si="8"/>
        <v>5259.03</v>
      </c>
      <c r="I62" s="197"/>
      <c r="J62" s="88">
        <v>19046770</v>
      </c>
      <c r="K62" s="88">
        <v>4760</v>
      </c>
      <c r="L62" s="5"/>
    </row>
    <row r="63" spans="1:12" s="51" customFormat="1" ht="12" x14ac:dyDescent="0.2">
      <c r="A63" s="48">
        <v>45369</v>
      </c>
      <c r="B63" s="49" t="s">
        <v>619</v>
      </c>
      <c r="C63" s="188" t="s">
        <v>200</v>
      </c>
      <c r="D63" s="158">
        <v>1950</v>
      </c>
      <c r="E63" s="9">
        <f t="shared" si="6"/>
        <v>1950</v>
      </c>
      <c r="G63" s="9">
        <f t="shared" si="5"/>
        <v>0</v>
      </c>
      <c r="H63" s="195">
        <f t="shared" si="8"/>
        <v>1950</v>
      </c>
      <c r="I63" s="11"/>
      <c r="J63" s="88">
        <v>19046770</v>
      </c>
      <c r="K63" s="88">
        <v>4760</v>
      </c>
    </row>
    <row r="64" spans="1:12" s="51" customFormat="1" ht="12" x14ac:dyDescent="0.2">
      <c r="A64" s="48">
        <v>45421</v>
      </c>
      <c r="B64" s="157" t="s">
        <v>565</v>
      </c>
      <c r="C64" s="188"/>
      <c r="D64" s="158"/>
      <c r="E64" s="9">
        <f t="shared" si="6"/>
        <v>0</v>
      </c>
      <c r="G64" s="9">
        <f t="shared" si="5"/>
        <v>0</v>
      </c>
      <c r="H64" s="9">
        <f t="shared" si="8"/>
        <v>0</v>
      </c>
      <c r="I64" s="11">
        <v>1950</v>
      </c>
      <c r="J64" s="88">
        <v>19046770</v>
      </c>
      <c r="K64" s="88">
        <v>4760</v>
      </c>
    </row>
    <row r="65" spans="3:9" x14ac:dyDescent="0.25">
      <c r="C65" s="195"/>
      <c r="D65" s="195">
        <f t="shared" ref="D65:G65" si="9">SUM(D3:D64)</f>
        <v>934598.62000000023</v>
      </c>
      <c r="E65" s="195">
        <f t="shared" si="9"/>
        <v>934598.62000000023</v>
      </c>
      <c r="F65" s="195">
        <f t="shared" si="9"/>
        <v>0</v>
      </c>
      <c r="G65" s="195">
        <f t="shared" si="9"/>
        <v>0</v>
      </c>
      <c r="H65" s="195">
        <f>SUM(H3:H64)</f>
        <v>934598.62000000023</v>
      </c>
      <c r="I65" s="195">
        <f>SUM(I3:I64)</f>
        <v>1440554.38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88"/>
  <sheetViews>
    <sheetView topLeftCell="A29" zoomScaleNormal="100" workbookViewId="0">
      <selection activeCell="P60" sqref="P60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2.88671875" style="1" customWidth="1"/>
    <col min="11" max="11" width="10.21875" style="1" customWidth="1"/>
    <col min="12" max="12" width="10.33203125" style="1" customWidth="1"/>
    <col min="13" max="13" width="9.33203125" style="1" bestFit="1" customWidth="1"/>
    <col min="14" max="14" width="11.44140625" style="1" bestFit="1" customWidth="1"/>
    <col min="15" max="15" width="11.6640625" style="1" customWidth="1"/>
    <col min="16" max="16" width="7.88671875" style="1"/>
    <col min="17" max="17" width="12.77734375" style="1" customWidth="1"/>
    <col min="18" max="16384" width="7.88671875" style="1"/>
  </cols>
  <sheetData>
    <row r="1" spans="2:17" x14ac:dyDescent="0.2">
      <c r="K1" s="89" t="s">
        <v>61</v>
      </c>
      <c r="L1" s="51"/>
      <c r="M1" s="51"/>
      <c r="N1" s="51" t="s">
        <v>62</v>
      </c>
    </row>
    <row r="2" spans="2:17" x14ac:dyDescent="0.2">
      <c r="K2" s="51" t="s">
        <v>63</v>
      </c>
      <c r="L2" s="106">
        <v>23000000</v>
      </c>
      <c r="M2" s="105">
        <f>+L2/L4</f>
        <v>0.88461538461538458</v>
      </c>
      <c r="N2" s="90">
        <f>1112557*M2</f>
        <v>984185.03846153838</v>
      </c>
    </row>
    <row r="3" spans="2:17" ht="15.75" x14ac:dyDescent="0.25">
      <c r="B3"/>
      <c r="C3" s="14" t="s">
        <v>0</v>
      </c>
      <c r="K3" s="51" t="s">
        <v>71</v>
      </c>
      <c r="L3" s="107">
        <v>3000000</v>
      </c>
      <c r="M3" s="105">
        <f>+L3/L4</f>
        <v>0.11538461538461539</v>
      </c>
      <c r="N3" s="108">
        <f>1112557*M3</f>
        <v>128371.96153846155</v>
      </c>
    </row>
    <row r="4" spans="2:17" ht="15.75" x14ac:dyDescent="0.25">
      <c r="B4"/>
      <c r="C4" s="14" t="e">
        <f>+PROJECT!#REF!</f>
        <v>#REF!</v>
      </c>
      <c r="K4" s="51" t="s">
        <v>64</v>
      </c>
      <c r="L4" s="106">
        <f>SUM(L2:L3)</f>
        <v>26000000</v>
      </c>
      <c r="M4" s="105"/>
      <c r="N4" s="90">
        <f>SUM(N2:N3)</f>
        <v>1112557</v>
      </c>
    </row>
    <row r="5" spans="2:17" ht="15.75" x14ac:dyDescent="0.25">
      <c r="B5"/>
      <c r="C5" s="31" t="s">
        <v>16</v>
      </c>
      <c r="D5" s="1">
        <f>+PROJECT!D6</f>
        <v>19046770</v>
      </c>
      <c r="E5"/>
    </row>
    <row r="6" spans="2:17" ht="15.75" x14ac:dyDescent="0.25">
      <c r="B6"/>
      <c r="C6" s="14" t="s">
        <v>17</v>
      </c>
      <c r="E6" s="32"/>
    </row>
    <row r="9" spans="2:17" x14ac:dyDescent="0.2">
      <c r="B9" s="33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/>
    </row>
    <row r="17" spans="2:17" x14ac:dyDescent="0.2">
      <c r="J17" s="20" t="s">
        <v>416</v>
      </c>
      <c r="K17" s="148"/>
      <c r="L17" s="148"/>
      <c r="Q17" s="18"/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167" t="s">
        <v>24</v>
      </c>
      <c r="Q18" s="18"/>
    </row>
    <row r="19" spans="2:17" x14ac:dyDescent="0.2">
      <c r="B19" s="15" t="s">
        <v>25</v>
      </c>
      <c r="G19" s="17"/>
      <c r="I19" s="18"/>
      <c r="J19" s="168" t="s">
        <v>314</v>
      </c>
      <c r="K19" s="168" t="s">
        <v>63</v>
      </c>
      <c r="L19" s="168" t="s">
        <v>71</v>
      </c>
      <c r="M19" s="168" t="s">
        <v>133</v>
      </c>
      <c r="N19" s="168" t="s">
        <v>134</v>
      </c>
      <c r="O19" s="168" t="s">
        <v>48</v>
      </c>
      <c r="Q19" s="18"/>
    </row>
    <row r="20" spans="2:17" x14ac:dyDescent="0.2">
      <c r="B20" s="16" t="s">
        <v>26</v>
      </c>
      <c r="G20" s="17" t="s">
        <v>20</v>
      </c>
      <c r="H20" s="17"/>
      <c r="I20" s="18"/>
      <c r="J20" s="148" t="s">
        <v>132</v>
      </c>
      <c r="K20" s="169">
        <f>(1248+6476)*M2</f>
        <v>6832.7692307692305</v>
      </c>
      <c r="L20" s="169">
        <f>(1248+6476)*M3</f>
        <v>891.23076923076928</v>
      </c>
      <c r="M20" s="169">
        <f>-2368+4329</f>
        <v>1961</v>
      </c>
      <c r="N20" s="169">
        <f>5470444</f>
        <v>5470444</v>
      </c>
      <c r="O20" s="169">
        <f>SUM(K20:N20)</f>
        <v>5480129</v>
      </c>
      <c r="P20" s="169"/>
      <c r="Q20" s="170" t="s">
        <v>402</v>
      </c>
    </row>
    <row r="21" spans="2:17" x14ac:dyDescent="0.2">
      <c r="B21" s="16" t="s">
        <v>27</v>
      </c>
      <c r="G21" s="17" t="s">
        <v>20</v>
      </c>
      <c r="H21" s="17"/>
      <c r="I21" s="18"/>
      <c r="J21" s="148" t="s">
        <v>196</v>
      </c>
      <c r="K21" s="169"/>
      <c r="L21" s="169"/>
      <c r="M21" s="169">
        <f>11925475-N21</f>
        <v>53826</v>
      </c>
      <c r="N21" s="169">
        <v>11871649</v>
      </c>
      <c r="O21" s="169">
        <f t="shared" ref="O21:O27" si="0">SUM(K21:N21)</f>
        <v>11925475</v>
      </c>
      <c r="P21" s="169"/>
      <c r="Q21" s="169"/>
    </row>
    <row r="22" spans="2:17" x14ac:dyDescent="0.2">
      <c r="B22" s="16" t="s">
        <v>27</v>
      </c>
      <c r="G22" s="17" t="s">
        <v>20</v>
      </c>
      <c r="H22" s="17"/>
      <c r="I22" s="18"/>
      <c r="J22" s="148" t="s">
        <v>207</v>
      </c>
      <c r="K22" s="169">
        <f>(68199-M22)*M2</f>
        <v>15862.48076923077</v>
      </c>
      <c r="L22" s="169">
        <f>(68199-M22)*M3</f>
        <v>2069.0192307692309</v>
      </c>
      <c r="M22" s="169">
        <f>-2705.5+2279+39745+2105+3561+5283</f>
        <v>50267.5</v>
      </c>
      <c r="N22" s="169"/>
      <c r="O22" s="169">
        <f t="shared" si="0"/>
        <v>68199</v>
      </c>
      <c r="P22" s="169"/>
      <c r="Q22" s="169"/>
    </row>
    <row r="23" spans="2:17" x14ac:dyDescent="0.2">
      <c r="B23" s="16"/>
      <c r="H23" s="17"/>
      <c r="I23" s="18"/>
      <c r="J23" s="148" t="s">
        <v>221</v>
      </c>
      <c r="K23" s="169">
        <f>5982*M2</f>
        <v>5291.7692307692305</v>
      </c>
      <c r="L23" s="169">
        <f>5982*M3</f>
        <v>690.23076923076928</v>
      </c>
      <c r="M23" s="169">
        <f>173959-5982</f>
        <v>167977</v>
      </c>
      <c r="N23" s="169"/>
      <c r="O23" s="169">
        <f t="shared" si="0"/>
        <v>173959</v>
      </c>
      <c r="P23" s="169"/>
      <c r="Q23" s="169"/>
    </row>
    <row r="24" spans="2:17" x14ac:dyDescent="0.2">
      <c r="B24" s="35" t="s">
        <v>28</v>
      </c>
      <c r="G24" s="17" t="s">
        <v>20</v>
      </c>
      <c r="H24" s="17"/>
      <c r="I24" s="18"/>
      <c r="J24" s="148" t="s">
        <v>222</v>
      </c>
      <c r="K24" s="169"/>
      <c r="L24" s="169"/>
      <c r="M24" s="169">
        <v>25801</v>
      </c>
      <c r="N24" s="169"/>
      <c r="O24" s="169">
        <f t="shared" si="0"/>
        <v>25801</v>
      </c>
      <c r="P24" s="169"/>
      <c r="Q24" s="169"/>
    </row>
    <row r="25" spans="2:17" x14ac:dyDescent="0.2">
      <c r="B25" s="35" t="s">
        <v>28</v>
      </c>
      <c r="G25" s="17" t="s">
        <v>20</v>
      </c>
      <c r="J25" s="148" t="s">
        <v>295</v>
      </c>
      <c r="K25" s="169">
        <f>(6355+2788+3492-70000+2201)*M2</f>
        <v>-48798.923076923078</v>
      </c>
      <c r="L25" s="169">
        <f>(6355+2788+3492-70000+2201)*M3</f>
        <v>-6365.0769230769238</v>
      </c>
      <c r="M25" s="169">
        <f>9926+2408+8419+5669+8224+24427-11501+24646+2647+3856+10433+8056+10363</f>
        <v>107573</v>
      </c>
      <c r="N25" s="169">
        <v>0</v>
      </c>
      <c r="O25" s="169">
        <f t="shared" si="0"/>
        <v>52409</v>
      </c>
      <c r="P25" s="169"/>
      <c r="Q25" s="169"/>
    </row>
    <row r="26" spans="2:17" x14ac:dyDescent="0.2">
      <c r="B26" s="16" t="s">
        <v>29</v>
      </c>
      <c r="H26" s="17" t="s">
        <v>20</v>
      </c>
      <c r="I26" s="18"/>
      <c r="J26" s="148" t="s">
        <v>305</v>
      </c>
      <c r="K26" s="169">
        <f>97200*M2</f>
        <v>85984.615384615376</v>
      </c>
      <c r="L26" s="169">
        <f>97200*M3</f>
        <v>11215.384615384615</v>
      </c>
      <c r="M26" s="169"/>
      <c r="N26" s="169"/>
      <c r="O26" s="169">
        <f t="shared" si="0"/>
        <v>97199.999999999985</v>
      </c>
      <c r="P26" s="169"/>
      <c r="Q26" s="169"/>
    </row>
    <row r="27" spans="2:17" x14ac:dyDescent="0.2">
      <c r="B27" s="16" t="s">
        <v>30</v>
      </c>
      <c r="H27" s="17" t="s">
        <v>20</v>
      </c>
      <c r="I27" s="18"/>
      <c r="J27" s="148" t="s">
        <v>415</v>
      </c>
      <c r="K27" s="169"/>
      <c r="L27" s="169"/>
      <c r="M27" s="169"/>
      <c r="N27" s="169"/>
      <c r="O27" s="169">
        <f t="shared" si="0"/>
        <v>0</v>
      </c>
      <c r="P27" s="169"/>
      <c r="Q27" s="169"/>
    </row>
    <row r="28" spans="2:17" x14ac:dyDescent="0.2">
      <c r="B28" s="16" t="s">
        <v>31</v>
      </c>
      <c r="H28" s="17" t="s">
        <v>20</v>
      </c>
      <c r="I28" s="18"/>
      <c r="J28" s="148" t="s">
        <v>428</v>
      </c>
      <c r="K28" s="169"/>
      <c r="L28" s="169"/>
      <c r="M28" s="169"/>
      <c r="N28" s="169"/>
      <c r="O28" s="169"/>
      <c r="P28" s="169"/>
      <c r="Q28" s="169"/>
    </row>
    <row r="29" spans="2:17" x14ac:dyDescent="0.2">
      <c r="B29" s="16" t="s">
        <v>32</v>
      </c>
      <c r="H29" s="17" t="s">
        <v>20</v>
      </c>
      <c r="I29" s="18"/>
      <c r="K29" s="169"/>
      <c r="L29" s="169"/>
      <c r="M29" s="169"/>
      <c r="N29" s="169"/>
      <c r="O29" s="169"/>
      <c r="P29" s="169"/>
      <c r="Q29" s="169"/>
    </row>
    <row r="30" spans="2:17" x14ac:dyDescent="0.2">
      <c r="B30" s="16" t="s">
        <v>33</v>
      </c>
      <c r="H30" s="17" t="s">
        <v>20</v>
      </c>
      <c r="K30" s="169"/>
      <c r="L30" s="169"/>
      <c r="M30" s="169"/>
      <c r="N30" s="169"/>
      <c r="O30" s="169"/>
      <c r="P30" s="169"/>
      <c r="Q30" s="169"/>
    </row>
    <row r="31" spans="2:17" x14ac:dyDescent="0.2">
      <c r="B31" s="16" t="s">
        <v>34</v>
      </c>
      <c r="H31" s="17" t="s">
        <v>20</v>
      </c>
      <c r="I31" s="18"/>
      <c r="K31" s="169"/>
      <c r="L31" s="169"/>
      <c r="M31" s="169"/>
      <c r="N31" s="169"/>
      <c r="O31" s="169"/>
      <c r="P31" s="169"/>
      <c r="Q31" s="169"/>
    </row>
    <row r="32" spans="2:17" x14ac:dyDescent="0.2">
      <c r="H32" s="17"/>
      <c r="I32" s="18"/>
      <c r="K32" s="169"/>
      <c r="L32" s="169"/>
      <c r="M32" s="169"/>
      <c r="N32" s="169"/>
      <c r="O32" s="169"/>
      <c r="P32" s="169"/>
      <c r="Q32" s="169"/>
    </row>
    <row r="33" spans="2:17" x14ac:dyDescent="0.2">
      <c r="B33" s="15" t="s">
        <v>35</v>
      </c>
      <c r="G33" s="17" t="s">
        <v>20</v>
      </c>
      <c r="H33" s="17"/>
      <c r="I33" s="18"/>
      <c r="J33" s="17"/>
      <c r="K33" s="169"/>
      <c r="L33" s="169"/>
      <c r="M33" s="169"/>
      <c r="N33" s="169"/>
      <c r="O33" s="169"/>
      <c r="P33" s="169"/>
      <c r="Q33" s="169"/>
    </row>
    <row r="34" spans="2:17" x14ac:dyDescent="0.2">
      <c r="B34" s="16"/>
      <c r="H34" s="17" t="s">
        <v>20</v>
      </c>
      <c r="I34" s="18"/>
      <c r="K34" s="169"/>
      <c r="L34" s="169"/>
      <c r="M34" s="169"/>
      <c r="N34" s="169"/>
      <c r="O34" s="169"/>
      <c r="P34" s="169"/>
      <c r="Q34" s="169"/>
    </row>
    <row r="35" spans="2:17" x14ac:dyDescent="0.2">
      <c r="B35" s="16"/>
      <c r="H35" s="17" t="s">
        <v>20</v>
      </c>
      <c r="I35" s="18"/>
      <c r="J35" s="171"/>
      <c r="K35" s="169"/>
      <c r="L35" s="169"/>
      <c r="M35" s="169"/>
      <c r="N35" s="169"/>
      <c r="O35" s="169"/>
      <c r="P35" s="169"/>
      <c r="Q35" s="169"/>
    </row>
    <row r="36" spans="2:17" x14ac:dyDescent="0.2">
      <c r="H36" s="17"/>
      <c r="I36" s="18"/>
      <c r="J36" s="17"/>
      <c r="K36" s="169"/>
      <c r="L36" s="169"/>
      <c r="M36" s="169"/>
      <c r="N36" s="169"/>
      <c r="O36" s="169"/>
      <c r="P36" s="169"/>
      <c r="Q36" s="169"/>
    </row>
    <row r="37" spans="2:17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172"/>
      <c r="K37" s="173"/>
      <c r="L37" s="173"/>
      <c r="M37" s="173"/>
      <c r="N37" s="173"/>
      <c r="O37" s="173"/>
      <c r="P37" s="169"/>
      <c r="Q37" s="169"/>
    </row>
    <row r="38" spans="2:17" x14ac:dyDescent="0.2">
      <c r="B38" s="34"/>
      <c r="H38" s="17" t="s">
        <v>20</v>
      </c>
      <c r="I38" s="18"/>
      <c r="J38" s="148" t="s">
        <v>64</v>
      </c>
      <c r="K38" s="169">
        <f>SUM(K20:K37)</f>
        <v>65172.711538461532</v>
      </c>
      <c r="L38" s="169">
        <f t="shared" ref="L38:O38" si="1">SUM(L20:L37)</f>
        <v>8500.788461538461</v>
      </c>
      <c r="M38" s="169">
        <f t="shared" si="1"/>
        <v>407405.5</v>
      </c>
      <c r="N38" s="169">
        <f t="shared" si="1"/>
        <v>17342093</v>
      </c>
      <c r="O38" s="169">
        <f t="shared" si="1"/>
        <v>17823172</v>
      </c>
      <c r="P38" s="169"/>
      <c r="Q38" s="169"/>
    </row>
    <row r="39" spans="2:17" x14ac:dyDescent="0.2">
      <c r="I39" s="18"/>
      <c r="K39" s="169"/>
      <c r="L39" s="169"/>
      <c r="M39" s="169"/>
      <c r="N39" s="169"/>
      <c r="O39" s="169"/>
      <c r="P39" s="169"/>
      <c r="Q39" s="169"/>
    </row>
    <row r="40" spans="2:17" x14ac:dyDescent="0.2">
      <c r="B40" s="15" t="s">
        <v>37</v>
      </c>
      <c r="H40" s="17"/>
      <c r="I40" s="18"/>
      <c r="K40" s="169"/>
      <c r="L40" s="169"/>
      <c r="M40" s="169"/>
      <c r="N40" s="169"/>
      <c r="O40" s="169"/>
      <c r="P40" s="169"/>
      <c r="Q40" s="169"/>
    </row>
    <row r="41" spans="2:17" x14ac:dyDescent="0.2">
      <c r="H41" s="17"/>
      <c r="I41" s="18"/>
      <c r="K41" s="169"/>
      <c r="L41" s="169"/>
      <c r="M41" s="169"/>
      <c r="N41" s="169"/>
      <c r="O41" s="169"/>
      <c r="P41" s="169"/>
      <c r="Q41" s="169"/>
    </row>
    <row r="42" spans="2:17" x14ac:dyDescent="0.2">
      <c r="B42" s="15" t="s">
        <v>38</v>
      </c>
      <c r="G42" s="17" t="s">
        <v>20</v>
      </c>
      <c r="H42" s="17" t="s">
        <v>20</v>
      </c>
      <c r="I42" s="18"/>
      <c r="K42" s="124"/>
      <c r="L42" s="124"/>
      <c r="M42" s="124"/>
      <c r="N42" s="124"/>
      <c r="O42" s="124"/>
      <c r="P42" s="124"/>
      <c r="Q42" s="124"/>
    </row>
    <row r="43" spans="2:17" x14ac:dyDescent="0.2">
      <c r="B43" s="16"/>
      <c r="G43" s="17"/>
      <c r="H43" s="17" t="s">
        <v>20</v>
      </c>
      <c r="I43" s="18"/>
      <c r="K43" s="124"/>
      <c r="L43" s="124"/>
      <c r="M43" s="124"/>
      <c r="N43" s="124"/>
      <c r="O43" s="124"/>
      <c r="P43" s="124"/>
      <c r="Q43" s="124"/>
    </row>
    <row r="44" spans="2:17" x14ac:dyDescent="0.2">
      <c r="B44" s="15"/>
      <c r="G44" s="17"/>
      <c r="H44" s="17"/>
      <c r="I44" s="18"/>
      <c r="K44" s="124"/>
      <c r="L44" s="124"/>
      <c r="M44" s="124"/>
      <c r="N44" s="124"/>
      <c r="O44" s="124"/>
      <c r="P44" s="124"/>
      <c r="Q44" s="124"/>
    </row>
    <row r="45" spans="2:17" x14ac:dyDescent="0.2">
      <c r="B45" s="15"/>
      <c r="G45" s="17"/>
      <c r="H45" s="17"/>
      <c r="I45" s="18"/>
      <c r="J45" s="148" t="s">
        <v>403</v>
      </c>
      <c r="K45" s="124"/>
      <c r="L45" s="124"/>
      <c r="M45" s="124"/>
      <c r="N45" s="124"/>
      <c r="O45" s="124"/>
      <c r="P45" s="124"/>
      <c r="Q45" s="124"/>
    </row>
    <row r="46" spans="2:17" x14ac:dyDescent="0.2">
      <c r="B46" s="14" t="s">
        <v>39</v>
      </c>
      <c r="G46" s="17" t="s">
        <v>20</v>
      </c>
      <c r="H46" s="17" t="s">
        <v>20</v>
      </c>
      <c r="I46" s="18"/>
      <c r="J46" s="141"/>
      <c r="K46" s="141"/>
      <c r="L46" s="141"/>
      <c r="M46" s="141"/>
      <c r="N46" s="141"/>
      <c r="O46" s="141"/>
    </row>
    <row r="47" spans="2:17" x14ac:dyDescent="0.2">
      <c r="B47" s="14"/>
      <c r="G47" s="17"/>
      <c r="H47" s="17"/>
      <c r="I47" s="18"/>
      <c r="J47" s="142" t="s">
        <v>314</v>
      </c>
      <c r="K47" s="142" t="s">
        <v>63</v>
      </c>
      <c r="L47" s="142" t="s">
        <v>71</v>
      </c>
      <c r="M47" s="142" t="s">
        <v>133</v>
      </c>
      <c r="N47" s="142" t="s">
        <v>134</v>
      </c>
      <c r="O47" s="142" t="s">
        <v>48</v>
      </c>
    </row>
    <row r="48" spans="2:17" x14ac:dyDescent="0.2">
      <c r="B48" s="36" t="s">
        <v>40</v>
      </c>
      <c r="G48" s="17" t="s">
        <v>20</v>
      </c>
      <c r="H48" s="17" t="s">
        <v>20</v>
      </c>
      <c r="I48" s="18"/>
      <c r="J48" s="143" t="s">
        <v>132</v>
      </c>
      <c r="K48" s="144">
        <f>7724*M2</f>
        <v>6832.7692307692305</v>
      </c>
      <c r="L48" s="144">
        <f>7724*M3</f>
        <v>891.23076923076928</v>
      </c>
      <c r="M48" s="144">
        <f>-2368+4329</f>
        <v>1961</v>
      </c>
      <c r="N48" s="144">
        <f>5470444</f>
        <v>5470444</v>
      </c>
      <c r="O48" s="144">
        <f>SUM(K48:N48)</f>
        <v>5480129</v>
      </c>
      <c r="P48" s="148" t="s">
        <v>404</v>
      </c>
    </row>
    <row r="49" spans="2:17" x14ac:dyDescent="0.2">
      <c r="B49" s="14"/>
      <c r="G49" s="17"/>
      <c r="H49" s="17"/>
      <c r="I49" s="18"/>
      <c r="J49" s="143" t="s">
        <v>196</v>
      </c>
      <c r="K49" s="153">
        <f>(3119+1313+3252+2238)*M2</f>
        <v>8777.1538461538457</v>
      </c>
      <c r="L49" s="153">
        <f>(3119+1313+3252+2238)*M3</f>
        <v>1144.8461538461538</v>
      </c>
      <c r="M49" s="153">
        <f>2793+2555-8786+31578+2194+17688+528-4646</f>
        <v>43904</v>
      </c>
      <c r="N49" s="144">
        <v>11871649</v>
      </c>
      <c r="O49" s="144">
        <f t="shared" ref="O49:O61" si="2">SUM(K49:N49)</f>
        <v>11925475</v>
      </c>
      <c r="P49" s="148" t="s">
        <v>405</v>
      </c>
    </row>
    <row r="50" spans="2:17" x14ac:dyDescent="0.2">
      <c r="B50" s="15" t="s">
        <v>41</v>
      </c>
      <c r="G50" s="17" t="s">
        <v>20</v>
      </c>
      <c r="H50" s="17"/>
      <c r="I50" s="18"/>
      <c r="J50" s="143" t="s">
        <v>207</v>
      </c>
      <c r="K50" s="153">
        <f>(16355+2279+2105+1576+5283)*M2</f>
        <v>24413.615384615383</v>
      </c>
      <c r="L50" s="153">
        <f>(16355+2279+2105+1576+5283)*M3</f>
        <v>3184.3846153846157</v>
      </c>
      <c r="M50" s="153">
        <f>-2705+39745+3561</f>
        <v>40601</v>
      </c>
      <c r="N50" s="144"/>
      <c r="O50" s="144">
        <f t="shared" si="2"/>
        <v>68199</v>
      </c>
    </row>
    <row r="51" spans="2:17" x14ac:dyDescent="0.2">
      <c r="B51" s="23"/>
      <c r="C51" s="23"/>
      <c r="D51" s="23"/>
      <c r="E51" s="23"/>
      <c r="F51" s="23"/>
      <c r="G51" s="23"/>
      <c r="H51" s="19"/>
      <c r="I51" s="18"/>
      <c r="J51" s="143" t="s">
        <v>221</v>
      </c>
      <c r="K51" s="153">
        <f>(11278+1078+60277+5018+21902+5982+7133+12890+1816+11971+17274+6357+3271+3907+25390)*M2</f>
        <v>172981.23076923075</v>
      </c>
      <c r="L51" s="153">
        <f>(11278+1078+60277+5018+21902+5982+7133+12890+1816+11971+17274+6357+3271+3907+25390)*M3</f>
        <v>22562.76923076923</v>
      </c>
      <c r="M51" s="153">
        <f>-2437-11315+5120+16433-31610+2224</f>
        <v>-21585</v>
      </c>
      <c r="N51" s="144"/>
      <c r="O51" s="144">
        <f t="shared" si="2"/>
        <v>173958.99999999997</v>
      </c>
    </row>
    <row r="52" spans="2:17" x14ac:dyDescent="0.2">
      <c r="B52" s="24" t="s">
        <v>42</v>
      </c>
      <c r="C52" s="25"/>
      <c r="D52" s="25"/>
      <c r="E52" s="25"/>
      <c r="F52" s="25"/>
      <c r="G52" s="26">
        <f>SUM(G19:G51)</f>
        <v>0</v>
      </c>
      <c r="H52" s="26">
        <f>SUM(H19:H51)</f>
        <v>0</v>
      </c>
      <c r="J52" s="143" t="s">
        <v>222</v>
      </c>
      <c r="K52" s="153">
        <f>25801*M2</f>
        <v>22823.961538461539</v>
      </c>
      <c r="L52" s="153">
        <f>25801*M3</f>
        <v>2977.0384615384619</v>
      </c>
      <c r="M52" s="153">
        <v>0</v>
      </c>
      <c r="N52" s="144"/>
      <c r="O52" s="144">
        <f t="shared" si="2"/>
        <v>25801</v>
      </c>
    </row>
    <row r="53" spans="2:17" ht="13.5" thickBot="1" x14ac:dyDescent="0.25">
      <c r="B53" s="27" t="s">
        <v>43</v>
      </c>
      <c r="C53" s="28"/>
      <c r="D53" s="28"/>
      <c r="E53" s="28"/>
      <c r="F53" s="28"/>
      <c r="G53" s="29"/>
      <c r="H53" s="30">
        <f>H16-H52</f>
        <v>0</v>
      </c>
      <c r="J53" s="143" t="s">
        <v>295</v>
      </c>
      <c r="K53" s="153">
        <f>(2201+9926+8419+24646+6355+3856+8056+10363+2788+3492)*M2</f>
        <v>70859.461538461532</v>
      </c>
      <c r="L53" s="153">
        <f>(2201+9926+8419+24646+6355+3856+8056+10363+2788+3492)*M3</f>
        <v>9242.5384615384628</v>
      </c>
      <c r="M53" s="153">
        <f>2408+5669+8224+24427-11501+2647+10433-70000</f>
        <v>-27693</v>
      </c>
      <c r="N53" s="144">
        <v>0</v>
      </c>
      <c r="O53" s="144">
        <f t="shared" si="2"/>
        <v>52409</v>
      </c>
    </row>
    <row r="54" spans="2:17" ht="13.5" thickTop="1" x14ac:dyDescent="0.2">
      <c r="G54" s="17"/>
      <c r="H54" s="1" t="s">
        <v>44</v>
      </c>
      <c r="J54" s="143" t="s">
        <v>305</v>
      </c>
      <c r="K54" s="153">
        <f>(14616+5358+760+2152+1631+2917+6751+9680)*M2</f>
        <v>38803.653846153844</v>
      </c>
      <c r="L54" s="153">
        <f>(14616+5358+760+2152+1631+2917+6751+9680)*M3</f>
        <v>5061.3461538461543</v>
      </c>
      <c r="M54" s="153">
        <f>12681+4612+8303+12651+1451+3121+8431+8612-62300+8925+2992+14254+29602</f>
        <v>53335</v>
      </c>
      <c r="N54" s="144"/>
      <c r="O54" s="144">
        <f t="shared" si="2"/>
        <v>97200</v>
      </c>
    </row>
    <row r="55" spans="2:17" x14ac:dyDescent="0.2">
      <c r="G55" s="17"/>
      <c r="H55" s="17"/>
      <c r="I55" s="18"/>
      <c r="J55" s="143" t="s">
        <v>415</v>
      </c>
      <c r="K55" s="144">
        <f>(3644-618+4023-539+1929)*M2</f>
        <v>7465.2692307692305</v>
      </c>
      <c r="L55" s="144">
        <f>(3644-618+4023-539+1929)*M3</f>
        <v>973.73076923076928</v>
      </c>
      <c r="M55" s="144">
        <f>-5180+45770+4077+9245+2573+5267+5470+2434+30081-1892+3941</f>
        <v>101786</v>
      </c>
      <c r="N55" s="144"/>
      <c r="O55" s="144">
        <f t="shared" si="2"/>
        <v>110225</v>
      </c>
    </row>
    <row r="56" spans="2:17" x14ac:dyDescent="0.2">
      <c r="G56" s="17"/>
      <c r="H56" s="17"/>
      <c r="I56" s="18"/>
      <c r="J56" s="143" t="s">
        <v>428</v>
      </c>
      <c r="K56" s="144">
        <f>(162754-M56-N56)*M2</f>
        <v>9736.076923076922</v>
      </c>
      <c r="L56" s="144">
        <f>(162754-M56-N56)*M3</f>
        <v>1269.9230769230769</v>
      </c>
      <c r="M56" s="144">
        <f>92837</f>
        <v>92837</v>
      </c>
      <c r="N56" s="159">
        <f>12485+6756+925+5024+33721</f>
        <v>58911</v>
      </c>
      <c r="O56" s="144">
        <f t="shared" si="2"/>
        <v>162754</v>
      </c>
      <c r="P56" s="160" t="s">
        <v>429</v>
      </c>
    </row>
    <row r="57" spans="2:17" x14ac:dyDescent="0.2">
      <c r="G57" s="17"/>
      <c r="H57" s="17"/>
      <c r="I57" s="18"/>
      <c r="J57" s="143" t="s">
        <v>447</v>
      </c>
      <c r="K57" s="144">
        <f>(1328+6475+3070)*M2</f>
        <v>9618.4230769230762</v>
      </c>
      <c r="L57" s="144">
        <f>(1328+6475+3070)*M3</f>
        <v>1254.5769230769231</v>
      </c>
      <c r="M57" s="144">
        <f>2788+3976+3125+4657+18663+9016+1513+685+231-618</f>
        <v>44036</v>
      </c>
      <c r="N57" s="144"/>
      <c r="O57" s="144">
        <f t="shared" si="2"/>
        <v>54909</v>
      </c>
    </row>
    <row r="58" spans="2:17" x14ac:dyDescent="0.2">
      <c r="G58" s="17"/>
      <c r="H58" s="17"/>
      <c r="I58" s="18"/>
      <c r="J58" s="143" t="s">
        <v>458</v>
      </c>
      <c r="K58" s="144">
        <f>(31942-M58)*M2</f>
        <v>6233.8846153846152</v>
      </c>
      <c r="L58" s="144">
        <f>(31942-M58)*M3</f>
        <v>813.11538461538464</v>
      </c>
      <c r="M58" s="144">
        <f>22926+1969</f>
        <v>24895</v>
      </c>
      <c r="N58" s="144"/>
      <c r="O58" s="144">
        <f t="shared" si="2"/>
        <v>31942</v>
      </c>
    </row>
    <row r="59" spans="2:17" x14ac:dyDescent="0.2">
      <c r="G59" s="17"/>
      <c r="H59" s="17"/>
      <c r="I59" s="18"/>
      <c r="J59" s="143" t="s">
        <v>459</v>
      </c>
      <c r="K59" s="144"/>
      <c r="L59" s="144"/>
      <c r="M59" s="144">
        <f>10303+330</f>
        <v>10633</v>
      </c>
      <c r="N59" s="144"/>
      <c r="O59" s="144">
        <f t="shared" si="2"/>
        <v>10633</v>
      </c>
    </row>
    <row r="60" spans="2:17" x14ac:dyDescent="0.2">
      <c r="G60" s="17"/>
      <c r="H60" s="17"/>
      <c r="I60" s="18"/>
      <c r="J60" s="143" t="s">
        <v>499</v>
      </c>
      <c r="K60" s="144"/>
      <c r="L60" s="144"/>
      <c r="M60" s="144">
        <v>3286</v>
      </c>
      <c r="N60" s="144"/>
      <c r="O60" s="144">
        <f t="shared" si="2"/>
        <v>3286</v>
      </c>
    </row>
    <row r="61" spans="2:17" x14ac:dyDescent="0.2">
      <c r="G61" s="17"/>
      <c r="H61" s="17"/>
      <c r="I61" s="165"/>
      <c r="J61" s="166" t="s">
        <v>500</v>
      </c>
      <c r="K61" s="144"/>
      <c r="L61" s="144"/>
      <c r="M61" s="144">
        <v>49272.5</v>
      </c>
      <c r="N61" s="144"/>
      <c r="O61" s="144">
        <f t="shared" si="2"/>
        <v>49272.5</v>
      </c>
      <c r="Q61" s="161"/>
    </row>
    <row r="62" spans="2:17" x14ac:dyDescent="0.2">
      <c r="G62" s="17"/>
      <c r="H62" s="17"/>
      <c r="I62" s="18"/>
      <c r="J62" s="143" t="s">
        <v>502</v>
      </c>
      <c r="K62" s="144"/>
      <c r="L62" s="144"/>
      <c r="M62" s="144">
        <v>10780</v>
      </c>
      <c r="N62" s="144"/>
      <c r="O62" s="144"/>
      <c r="Q62" s="161"/>
    </row>
    <row r="63" spans="2:17" x14ac:dyDescent="0.2">
      <c r="G63" s="17"/>
      <c r="H63" s="17"/>
      <c r="I63" s="18"/>
      <c r="J63" s="146"/>
      <c r="K63" s="144"/>
      <c r="L63" s="144"/>
      <c r="M63" s="144"/>
      <c r="N63" s="144"/>
      <c r="O63" s="144"/>
    </row>
    <row r="64" spans="2:17" x14ac:dyDescent="0.2">
      <c r="G64" s="17"/>
      <c r="H64" s="17"/>
      <c r="I64" s="18"/>
      <c r="J64" s="145"/>
      <c r="K64" s="144"/>
      <c r="L64" s="144"/>
      <c r="M64" s="144"/>
      <c r="N64" s="144"/>
      <c r="O64" s="144"/>
    </row>
    <row r="65" spans="7:15" x14ac:dyDescent="0.2">
      <c r="G65" s="17"/>
      <c r="H65" s="17"/>
      <c r="I65" s="18"/>
      <c r="J65" s="141"/>
      <c r="K65" s="147"/>
      <c r="L65" s="147"/>
      <c r="M65" s="147"/>
      <c r="N65" s="147"/>
      <c r="O65" s="147"/>
    </row>
    <row r="66" spans="7:15" x14ac:dyDescent="0.2">
      <c r="G66" s="17"/>
      <c r="H66" s="17"/>
      <c r="I66" s="18"/>
      <c r="J66" s="143" t="s">
        <v>64</v>
      </c>
      <c r="K66" s="144">
        <f>SUM(K48:K65)</f>
        <v>378545.5</v>
      </c>
      <c r="L66" s="144">
        <f t="shared" ref="L66:O66" si="3">SUM(L48:L65)</f>
        <v>49375.5</v>
      </c>
      <c r="M66" s="144">
        <f t="shared" si="3"/>
        <v>428048.5</v>
      </c>
      <c r="N66" s="144">
        <f t="shared" si="3"/>
        <v>17401004</v>
      </c>
      <c r="O66" s="144">
        <f t="shared" si="3"/>
        <v>18246193.5</v>
      </c>
    </row>
    <row r="67" spans="7:15" x14ac:dyDescent="0.2">
      <c r="G67" s="17"/>
      <c r="H67" s="17"/>
      <c r="I67" s="18"/>
      <c r="J67" s="141"/>
      <c r="K67" s="144"/>
      <c r="L67" s="144"/>
      <c r="M67" s="144"/>
      <c r="N67" s="144"/>
      <c r="O67" s="144"/>
    </row>
    <row r="68" spans="7:15" x14ac:dyDescent="0.2">
      <c r="G68" s="17"/>
      <c r="H68" s="17"/>
      <c r="I68" s="18"/>
    </row>
    <row r="69" spans="7:15" x14ac:dyDescent="0.2">
      <c r="G69" s="17"/>
      <c r="H69" s="17"/>
      <c r="I69" s="18"/>
    </row>
    <row r="70" spans="7:15" x14ac:dyDescent="0.2">
      <c r="G70" s="17"/>
      <c r="H70" s="17"/>
      <c r="I70" s="18"/>
    </row>
    <row r="71" spans="7:15" x14ac:dyDescent="0.2">
      <c r="G71" s="17"/>
      <c r="H71" s="17"/>
      <c r="I71" s="18"/>
    </row>
    <row r="72" spans="7:15" x14ac:dyDescent="0.2">
      <c r="G72" s="17"/>
      <c r="H72" s="17"/>
      <c r="I72" s="18"/>
    </row>
    <row r="73" spans="7:15" x14ac:dyDescent="0.2">
      <c r="H73" s="17"/>
      <c r="I73" s="18"/>
    </row>
    <row r="74" spans="7:15" x14ac:dyDescent="0.2">
      <c r="H74" s="17"/>
      <c r="I74" s="18"/>
    </row>
    <row r="75" spans="7:15" x14ac:dyDescent="0.2">
      <c r="H75" s="17"/>
      <c r="I75" s="18"/>
    </row>
    <row r="76" spans="7:15" x14ac:dyDescent="0.2">
      <c r="H76" s="17"/>
      <c r="I76" s="18"/>
    </row>
    <row r="77" spans="7:15" x14ac:dyDescent="0.2">
      <c r="H77" s="17"/>
      <c r="I77" s="18"/>
    </row>
    <row r="78" spans="7:15" x14ac:dyDescent="0.2">
      <c r="H78" s="17"/>
      <c r="I78" s="18"/>
    </row>
    <row r="79" spans="7:15" x14ac:dyDescent="0.2">
      <c r="H79" s="17"/>
      <c r="I79" s="18"/>
    </row>
    <row r="80" spans="7:15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L97"/>
  <sheetViews>
    <sheetView workbookViewId="0">
      <pane ySplit="3" topLeftCell="A4" activePane="bottomLeft" state="frozen"/>
      <selection pane="bottomLeft" activeCell="J6" sqref="J6:J7"/>
    </sheetView>
  </sheetViews>
  <sheetFormatPr defaultRowHeight="15.75" x14ac:dyDescent="0.25"/>
  <cols>
    <col min="1" max="1" width="32.21875" customWidth="1"/>
    <col min="3" max="3" width="15" customWidth="1"/>
    <col min="10" max="10" width="16.21875" customWidth="1"/>
    <col min="12" max="12" width="16.6640625" customWidth="1"/>
  </cols>
  <sheetData>
    <row r="3" spans="1:12" x14ac:dyDescent="0.25">
      <c r="A3" s="148"/>
      <c r="C3" s="149"/>
      <c r="D3" s="149"/>
      <c r="E3" s="149"/>
      <c r="F3" s="149"/>
      <c r="G3" s="149"/>
      <c r="H3" s="149"/>
      <c r="J3" s="20" t="s">
        <v>62</v>
      </c>
      <c r="L3" s="20" t="s">
        <v>134</v>
      </c>
    </row>
    <row r="4" spans="1:12" x14ac:dyDescent="0.25">
      <c r="J4" s="149">
        <f>SUM(J6:J495)</f>
        <v>390556</v>
      </c>
      <c r="L4" s="149">
        <f>SUM(L6:L495)</f>
        <v>90523</v>
      </c>
    </row>
    <row r="5" spans="1:12" x14ac:dyDescent="0.25">
      <c r="J5" s="149"/>
    </row>
    <row r="6" spans="1:12" x14ac:dyDescent="0.25">
      <c r="A6" s="148" t="s">
        <v>316</v>
      </c>
      <c r="C6" s="149">
        <v>1176</v>
      </c>
      <c r="D6" s="149">
        <v>42</v>
      </c>
      <c r="E6" s="150">
        <v>12</v>
      </c>
      <c r="F6" s="149">
        <v>7</v>
      </c>
      <c r="G6" s="149">
        <v>11</v>
      </c>
      <c r="H6" s="149"/>
      <c r="J6" s="150">
        <f>SUM(C6:H6)</f>
        <v>1248</v>
      </c>
    </row>
    <row r="7" spans="1:12" x14ac:dyDescent="0.25">
      <c r="A7" s="148" t="s">
        <v>317</v>
      </c>
      <c r="C7" s="149">
        <v>6105</v>
      </c>
      <c r="D7" s="149">
        <v>219</v>
      </c>
      <c r="E7" s="149">
        <v>62</v>
      </c>
      <c r="F7" s="149">
        <v>35</v>
      </c>
      <c r="G7" s="149">
        <v>55</v>
      </c>
      <c r="H7" s="149"/>
      <c r="J7" s="150">
        <f>SUM(C7:H7)</f>
        <v>6476</v>
      </c>
    </row>
    <row r="8" spans="1:12" x14ac:dyDescent="0.25">
      <c r="A8" s="148" t="s">
        <v>318</v>
      </c>
      <c r="C8" s="149">
        <v>-2368</v>
      </c>
      <c r="D8" s="149"/>
      <c r="E8" s="149"/>
      <c r="F8" s="149"/>
      <c r="G8" s="149"/>
      <c r="H8" s="149"/>
      <c r="L8" s="150">
        <f>SUM(C8:H8)</f>
        <v>-2368</v>
      </c>
    </row>
    <row r="9" spans="1:12" x14ac:dyDescent="0.25">
      <c r="A9" s="148" t="s">
        <v>319</v>
      </c>
      <c r="C9" s="149">
        <v>4082</v>
      </c>
      <c r="D9" s="149">
        <v>146</v>
      </c>
      <c r="E9" s="149">
        <v>41</v>
      </c>
      <c r="F9" s="149">
        <v>23</v>
      </c>
      <c r="G9" s="149">
        <v>37</v>
      </c>
      <c r="H9" s="149"/>
      <c r="L9" s="150">
        <f>SUM(C9:H9)</f>
        <v>4329</v>
      </c>
    </row>
    <row r="11" spans="1:12" x14ac:dyDescent="0.25">
      <c r="A11" s="148" t="s">
        <v>320</v>
      </c>
      <c r="C11" s="149">
        <v>2633</v>
      </c>
      <c r="D11" s="149">
        <v>94</v>
      </c>
      <c r="E11" s="149">
        <v>27</v>
      </c>
      <c r="F11" s="149">
        <v>15</v>
      </c>
      <c r="G11" s="149">
        <v>24</v>
      </c>
      <c r="H11" s="149"/>
      <c r="L11" s="150">
        <f>SUM(C11:H11)</f>
        <v>2793</v>
      </c>
    </row>
    <row r="12" spans="1:12" x14ac:dyDescent="0.25">
      <c r="A12" s="148" t="s">
        <v>321</v>
      </c>
      <c r="C12" s="149">
        <v>2420</v>
      </c>
      <c r="D12" s="149">
        <v>87</v>
      </c>
      <c r="E12" s="149">
        <v>12</v>
      </c>
      <c r="F12" s="149">
        <v>14</v>
      </c>
      <c r="G12" s="149">
        <v>22</v>
      </c>
      <c r="H12" s="149"/>
      <c r="L12" s="150">
        <f>SUM(C12:H12)</f>
        <v>2555</v>
      </c>
    </row>
    <row r="13" spans="1:12" x14ac:dyDescent="0.25">
      <c r="A13" s="148" t="s">
        <v>322</v>
      </c>
      <c r="C13" s="149">
        <v>-8283</v>
      </c>
      <c r="D13" s="149">
        <v>-297</v>
      </c>
      <c r="E13" s="149">
        <v>-84</v>
      </c>
      <c r="F13" s="149">
        <v>-47</v>
      </c>
      <c r="G13" s="149">
        <v>-75</v>
      </c>
      <c r="H13" s="149"/>
      <c r="L13" s="150">
        <f>SUM(C13:H13)</f>
        <v>-8786</v>
      </c>
    </row>
    <row r="14" spans="1:12" x14ac:dyDescent="0.25">
      <c r="A14" s="148" t="s">
        <v>323</v>
      </c>
      <c r="C14" s="149">
        <v>29817</v>
      </c>
      <c r="D14" s="149">
        <v>1068</v>
      </c>
      <c r="E14" s="149">
        <v>252</v>
      </c>
      <c r="F14" s="149">
        <v>170</v>
      </c>
      <c r="G14" s="149">
        <v>271</v>
      </c>
      <c r="H14" s="149"/>
      <c r="L14" s="150">
        <f>SUM(C14:H14)</f>
        <v>31578</v>
      </c>
    </row>
    <row r="15" spans="1:12" x14ac:dyDescent="0.25">
      <c r="A15" s="148" t="s">
        <v>324</v>
      </c>
      <c r="C15" s="149">
        <v>2068</v>
      </c>
      <c r="D15" s="149">
        <v>74</v>
      </c>
      <c r="E15" s="149">
        <v>21</v>
      </c>
      <c r="F15" s="149">
        <v>12</v>
      </c>
      <c r="G15" s="149">
        <v>19</v>
      </c>
      <c r="H15" s="149"/>
      <c r="L15" s="150">
        <f>SUM(C15:H15)</f>
        <v>2194</v>
      </c>
    </row>
    <row r="16" spans="1:12" x14ac:dyDescent="0.25">
      <c r="A16" s="148" t="s">
        <v>325</v>
      </c>
      <c r="C16" s="149">
        <v>2940</v>
      </c>
      <c r="D16" s="149">
        <v>105</v>
      </c>
      <c r="E16" s="149">
        <v>30</v>
      </c>
      <c r="F16" s="149">
        <v>17</v>
      </c>
      <c r="G16" s="149">
        <v>27</v>
      </c>
      <c r="H16" s="149"/>
      <c r="J16" s="150">
        <f>SUM(C16:H16)</f>
        <v>3119</v>
      </c>
    </row>
    <row r="17" spans="1:12" x14ac:dyDescent="0.25">
      <c r="A17" s="148" t="s">
        <v>326</v>
      </c>
      <c r="C17" s="149">
        <v>16675</v>
      </c>
      <c r="D17" s="149">
        <v>598</v>
      </c>
      <c r="E17" s="149">
        <v>169</v>
      </c>
      <c r="F17" s="149">
        <v>95</v>
      </c>
      <c r="G17" s="149">
        <v>151</v>
      </c>
      <c r="H17" s="149"/>
      <c r="L17" s="150">
        <f>SUM(C17:H17)</f>
        <v>17688</v>
      </c>
    </row>
    <row r="18" spans="1:12" x14ac:dyDescent="0.25">
      <c r="A18" s="148" t="s">
        <v>327</v>
      </c>
      <c r="C18" s="149">
        <v>1238</v>
      </c>
      <c r="D18" s="149">
        <v>44</v>
      </c>
      <c r="E18" s="149">
        <v>13</v>
      </c>
      <c r="F18" s="149">
        <v>7</v>
      </c>
      <c r="G18" s="149">
        <v>11</v>
      </c>
      <c r="H18" s="149"/>
      <c r="J18" s="150">
        <f>SUM(C18:H18)</f>
        <v>1313</v>
      </c>
    </row>
    <row r="19" spans="1:12" x14ac:dyDescent="0.25">
      <c r="A19" s="148" t="s">
        <v>328</v>
      </c>
      <c r="C19" s="149">
        <v>497</v>
      </c>
      <c r="D19" s="149">
        <v>18</v>
      </c>
      <c r="E19" s="149">
        <v>5</v>
      </c>
      <c r="F19" s="149">
        <v>3</v>
      </c>
      <c r="G19" s="149">
        <v>5</v>
      </c>
      <c r="H19" s="149"/>
      <c r="L19" s="150">
        <f>SUM(C19:H19)</f>
        <v>528</v>
      </c>
    </row>
    <row r="20" spans="1:12" x14ac:dyDescent="0.25">
      <c r="A20" s="148" t="s">
        <v>329</v>
      </c>
      <c r="C20" s="149">
        <v>-4380</v>
      </c>
      <c r="D20" s="149">
        <v>-157</v>
      </c>
      <c r="E20" s="149">
        <v>-44</v>
      </c>
      <c r="F20" s="149">
        <v>-25</v>
      </c>
      <c r="G20" s="149">
        <v>-40</v>
      </c>
      <c r="H20" s="149"/>
      <c r="L20" s="150">
        <f>SUM(C20:H20)</f>
        <v>-4646</v>
      </c>
    </row>
    <row r="21" spans="1:12" x14ac:dyDescent="0.25">
      <c r="A21" s="148" t="s">
        <v>330</v>
      </c>
      <c r="C21" s="149">
        <v>3066</v>
      </c>
      <c r="D21" s="149">
        <v>110</v>
      </c>
      <c r="E21" s="149">
        <v>31</v>
      </c>
      <c r="F21" s="149">
        <v>17</v>
      </c>
      <c r="G21" s="149">
        <v>28</v>
      </c>
      <c r="H21" s="149"/>
      <c r="J21" s="150">
        <f>SUM(C21:H21)</f>
        <v>3252</v>
      </c>
    </row>
    <row r="22" spans="1:12" x14ac:dyDescent="0.25">
      <c r="A22" s="148" t="s">
        <v>331</v>
      </c>
      <c r="C22" s="149">
        <v>2110</v>
      </c>
      <c r="D22" s="149">
        <v>76</v>
      </c>
      <c r="E22" s="149">
        <v>21</v>
      </c>
      <c r="F22" s="149">
        <v>12</v>
      </c>
      <c r="G22" s="149">
        <v>19</v>
      </c>
      <c r="H22" s="149"/>
      <c r="J22" s="150">
        <f>SUM(C22:H22)</f>
        <v>2238</v>
      </c>
    </row>
    <row r="24" spans="1:12" x14ac:dyDescent="0.25">
      <c r="A24" s="148" t="s">
        <v>332</v>
      </c>
      <c r="C24" s="149">
        <v>15418</v>
      </c>
      <c r="D24" s="149">
        <v>553</v>
      </c>
      <c r="E24" s="149">
        <v>157</v>
      </c>
      <c r="F24" s="149">
        <v>88</v>
      </c>
      <c r="G24" s="149">
        <v>139</v>
      </c>
      <c r="J24" s="150">
        <f>SUM(C24:H24)</f>
        <v>16355</v>
      </c>
    </row>
    <row r="25" spans="1:12" x14ac:dyDescent="0.25">
      <c r="A25" s="148" t="s">
        <v>333</v>
      </c>
      <c r="C25" s="149">
        <v>-2550</v>
      </c>
      <c r="D25" s="149">
        <v>-91</v>
      </c>
      <c r="E25" s="149">
        <v>-26</v>
      </c>
      <c r="F25" s="149">
        <v>-15</v>
      </c>
      <c r="G25" s="149">
        <v>-23</v>
      </c>
      <c r="L25" s="150">
        <f>SUM(C25:H25)</f>
        <v>-2705</v>
      </c>
    </row>
    <row r="26" spans="1:12" x14ac:dyDescent="0.25">
      <c r="A26" s="148" t="s">
        <v>334</v>
      </c>
      <c r="C26" s="149">
        <v>2149</v>
      </c>
      <c r="D26" s="149">
        <v>77</v>
      </c>
      <c r="E26" s="149">
        <v>22</v>
      </c>
      <c r="F26" s="149">
        <v>12</v>
      </c>
      <c r="G26" s="149">
        <v>19</v>
      </c>
      <c r="J26" s="150">
        <f>SUM(C26:H26)</f>
        <v>2279</v>
      </c>
    </row>
    <row r="27" spans="1:12" x14ac:dyDescent="0.25">
      <c r="A27" s="148" t="s">
        <v>335</v>
      </c>
      <c r="C27" s="149">
        <v>37468</v>
      </c>
      <c r="D27" s="149">
        <v>1344</v>
      </c>
      <c r="E27" s="149">
        <v>380</v>
      </c>
      <c r="F27" s="149">
        <v>214</v>
      </c>
      <c r="G27" s="149">
        <v>339</v>
      </c>
      <c r="L27" s="150">
        <f>SUM(C27:H27)</f>
        <v>39745</v>
      </c>
    </row>
    <row r="28" spans="1:12" x14ac:dyDescent="0.25">
      <c r="A28" s="148" t="s">
        <v>336</v>
      </c>
      <c r="C28" s="149">
        <v>1984</v>
      </c>
      <c r="D28" s="149">
        <v>71</v>
      </c>
      <c r="E28" s="150">
        <v>21</v>
      </c>
      <c r="F28" s="149">
        <v>11</v>
      </c>
      <c r="G28" s="149">
        <v>18</v>
      </c>
      <c r="J28" s="150">
        <f>SUM(C28:H28)</f>
        <v>2105</v>
      </c>
    </row>
    <row r="29" spans="1:12" x14ac:dyDescent="0.25">
      <c r="A29" s="148" t="s">
        <v>337</v>
      </c>
      <c r="C29" s="149">
        <v>1487</v>
      </c>
      <c r="D29" s="149">
        <v>53</v>
      </c>
      <c r="E29" s="149">
        <v>15</v>
      </c>
      <c r="F29" s="149">
        <v>8</v>
      </c>
      <c r="G29" s="149">
        <v>13</v>
      </c>
      <c r="J29" s="150">
        <f>SUM(C29:H29)</f>
        <v>1576</v>
      </c>
    </row>
    <row r="30" spans="1:12" x14ac:dyDescent="0.25">
      <c r="A30" s="148" t="s">
        <v>338</v>
      </c>
      <c r="C30" s="149">
        <v>3358</v>
      </c>
      <c r="D30" s="149">
        <v>120</v>
      </c>
      <c r="E30" s="149">
        <v>34</v>
      </c>
      <c r="F30" s="149">
        <v>19</v>
      </c>
      <c r="G30" s="149">
        <v>30</v>
      </c>
      <c r="L30" s="150">
        <f>SUM(C30:H30)</f>
        <v>3561</v>
      </c>
    </row>
    <row r="31" spans="1:12" x14ac:dyDescent="0.25">
      <c r="A31" s="148" t="s">
        <v>339</v>
      </c>
      <c r="C31" s="149">
        <v>4980</v>
      </c>
      <c r="D31" s="149">
        <v>179</v>
      </c>
      <c r="E31" s="149">
        <v>51</v>
      </c>
      <c r="F31" s="149">
        <v>28</v>
      </c>
      <c r="G31" s="149">
        <v>45</v>
      </c>
      <c r="J31" s="150">
        <f>SUM(C31:H31)</f>
        <v>5283</v>
      </c>
    </row>
    <row r="33" spans="1:12" x14ac:dyDescent="0.25">
      <c r="A33" t="s">
        <v>340</v>
      </c>
      <c r="C33" s="149">
        <v>10651</v>
      </c>
      <c r="D33" s="149">
        <v>381</v>
      </c>
      <c r="E33" s="149">
        <v>107</v>
      </c>
      <c r="F33" s="149">
        <v>60</v>
      </c>
      <c r="G33" s="149">
        <v>79</v>
      </c>
      <c r="J33" s="150">
        <f>SUM(C33:H33)</f>
        <v>11278</v>
      </c>
    </row>
    <row r="34" spans="1:12" x14ac:dyDescent="0.25">
      <c r="A34" t="s">
        <v>341</v>
      </c>
      <c r="C34" s="149">
        <v>1018</v>
      </c>
      <c r="D34" s="149">
        <v>36</v>
      </c>
      <c r="E34" s="149">
        <v>10</v>
      </c>
      <c r="F34" s="149">
        <v>6</v>
      </c>
      <c r="G34" s="149">
        <v>8</v>
      </c>
      <c r="J34" s="150">
        <f>SUM(C34:H34)</f>
        <v>1078</v>
      </c>
    </row>
    <row r="35" spans="1:12" x14ac:dyDescent="0.25">
      <c r="A35" t="s">
        <v>342</v>
      </c>
      <c r="C35" s="149">
        <v>-2302</v>
      </c>
      <c r="D35" s="149">
        <v>-82</v>
      </c>
      <c r="E35" s="149">
        <v>-23</v>
      </c>
      <c r="F35" s="149">
        <v>-13</v>
      </c>
      <c r="G35" s="149">
        <v>-17</v>
      </c>
      <c r="L35" s="150">
        <f>SUM(C35:H35)</f>
        <v>-2437</v>
      </c>
    </row>
    <row r="36" spans="1:12" x14ac:dyDescent="0.25">
      <c r="A36" t="s">
        <v>343</v>
      </c>
      <c r="C36" s="149">
        <v>-10666</v>
      </c>
      <c r="D36" s="149">
        <v>-383</v>
      </c>
      <c r="E36" s="149">
        <v>-108</v>
      </c>
      <c r="F36" s="149">
        <v>-61</v>
      </c>
      <c r="G36" s="149">
        <v>-97</v>
      </c>
      <c r="L36" s="150">
        <f>SUM(C36:H36)</f>
        <v>-11315</v>
      </c>
    </row>
    <row r="37" spans="1:12" x14ac:dyDescent="0.25">
      <c r="A37" t="s">
        <v>344</v>
      </c>
      <c r="C37" s="149">
        <v>57326</v>
      </c>
      <c r="D37" s="149">
        <v>2053</v>
      </c>
      <c r="E37" s="149">
        <v>580</v>
      </c>
      <c r="F37" s="149">
        <v>327</v>
      </c>
      <c r="G37" s="149">
        <v>433</v>
      </c>
      <c r="J37" s="150">
        <v>60277</v>
      </c>
    </row>
    <row r="38" spans="1:12" x14ac:dyDescent="0.25">
      <c r="A38" t="s">
        <v>345</v>
      </c>
      <c r="C38" s="149">
        <v>4785</v>
      </c>
      <c r="D38" s="149">
        <v>170</v>
      </c>
      <c r="F38" s="149">
        <v>27</v>
      </c>
      <c r="G38" s="149">
        <v>36</v>
      </c>
      <c r="J38" s="150">
        <f>SUM(C38:H38)</f>
        <v>5018</v>
      </c>
    </row>
    <row r="39" spans="1:12" x14ac:dyDescent="0.25">
      <c r="A39" t="s">
        <v>346</v>
      </c>
      <c r="C39" s="149">
        <v>20677</v>
      </c>
      <c r="D39" s="149">
        <v>741</v>
      </c>
      <c r="E39" s="149">
        <v>210</v>
      </c>
      <c r="F39" s="149">
        <v>118</v>
      </c>
      <c r="G39" s="149">
        <v>156</v>
      </c>
      <c r="J39" s="150">
        <f>SUM(C39:H39)</f>
        <v>21902</v>
      </c>
    </row>
    <row r="40" spans="1:12" x14ac:dyDescent="0.25">
      <c r="A40" t="s">
        <v>347</v>
      </c>
      <c r="C40" s="149">
        <v>5648</v>
      </c>
      <c r="D40" s="149">
        <v>202</v>
      </c>
      <c r="E40" s="149">
        <v>57</v>
      </c>
      <c r="F40" s="149">
        <v>32</v>
      </c>
      <c r="G40" s="149">
        <v>43</v>
      </c>
      <c r="J40" s="150">
        <f>SUM(C40:H40)</f>
        <v>5982</v>
      </c>
    </row>
    <row r="41" spans="1:12" x14ac:dyDescent="0.25">
      <c r="A41" t="s">
        <v>348</v>
      </c>
      <c r="C41" s="149">
        <v>4834</v>
      </c>
      <c r="D41" s="149">
        <v>173</v>
      </c>
      <c r="E41" s="149">
        <v>49</v>
      </c>
      <c r="F41" s="149">
        <v>28</v>
      </c>
      <c r="G41" s="149">
        <v>36</v>
      </c>
      <c r="L41" s="150">
        <f>SUM(C41:H41)</f>
        <v>5120</v>
      </c>
    </row>
    <row r="42" spans="1:12" x14ac:dyDescent="0.25">
      <c r="A42" t="s">
        <v>349</v>
      </c>
      <c r="C42" s="149">
        <v>6751</v>
      </c>
      <c r="D42" s="149">
        <v>241</v>
      </c>
      <c r="E42" s="149">
        <v>52</v>
      </c>
      <c r="F42" s="149">
        <v>38</v>
      </c>
      <c r="G42" s="149">
        <v>51</v>
      </c>
      <c r="J42" s="150">
        <f>SUM(C42:H42)</f>
        <v>7133</v>
      </c>
    </row>
    <row r="43" spans="1:12" x14ac:dyDescent="0.25">
      <c r="A43" t="s">
        <v>350</v>
      </c>
      <c r="C43" s="149">
        <v>12170</v>
      </c>
      <c r="D43" s="149">
        <v>436</v>
      </c>
      <c r="E43" s="149">
        <v>123</v>
      </c>
      <c r="F43" s="149">
        <v>69</v>
      </c>
      <c r="G43" s="149">
        <v>92</v>
      </c>
      <c r="J43" s="150">
        <f>SUM(C43:H43)</f>
        <v>12890</v>
      </c>
    </row>
    <row r="44" spans="1:12" x14ac:dyDescent="0.25">
      <c r="A44" t="s">
        <v>351</v>
      </c>
      <c r="C44" s="149">
        <v>1715</v>
      </c>
      <c r="D44" s="149">
        <v>61</v>
      </c>
      <c r="E44" s="149">
        <v>17</v>
      </c>
      <c r="F44" s="149">
        <v>10</v>
      </c>
      <c r="G44" s="149">
        <v>13</v>
      </c>
      <c r="J44" s="150">
        <f>SUM(C44:H44)</f>
        <v>1816</v>
      </c>
    </row>
    <row r="45" spans="1:12" x14ac:dyDescent="0.25">
      <c r="A45" t="s">
        <v>352</v>
      </c>
      <c r="C45" s="149">
        <v>11302</v>
      </c>
      <c r="D45" s="149">
        <v>404</v>
      </c>
      <c r="E45" s="149">
        <v>115</v>
      </c>
      <c r="F45" s="149">
        <v>65</v>
      </c>
      <c r="G45" s="149">
        <v>85</v>
      </c>
      <c r="J45" s="150">
        <f>SUM(C45:H45)</f>
        <v>11971</v>
      </c>
    </row>
    <row r="46" spans="1:12" x14ac:dyDescent="0.25">
      <c r="A46" t="s">
        <v>353</v>
      </c>
      <c r="C46" s="149">
        <v>16355</v>
      </c>
      <c r="D46" s="149">
        <v>585</v>
      </c>
      <c r="E46" s="149">
        <v>166</v>
      </c>
      <c r="F46" s="149">
        <v>94</v>
      </c>
      <c r="G46" s="149">
        <v>74</v>
      </c>
      <c r="J46" s="150">
        <f>SUM(C46:H46)</f>
        <v>17274</v>
      </c>
    </row>
    <row r="47" spans="1:12" x14ac:dyDescent="0.25">
      <c r="A47" t="s">
        <v>354</v>
      </c>
      <c r="C47" s="149">
        <v>15515</v>
      </c>
      <c r="D47" s="149">
        <v>556</v>
      </c>
      <c r="E47" s="149">
        <v>157</v>
      </c>
      <c r="F47" s="149">
        <v>88</v>
      </c>
      <c r="G47" s="149">
        <v>117</v>
      </c>
      <c r="L47" s="150">
        <f>SUM(C47:H47)</f>
        <v>16433</v>
      </c>
    </row>
    <row r="48" spans="1:12" x14ac:dyDescent="0.25">
      <c r="A48" t="s">
        <v>355</v>
      </c>
      <c r="C48" s="149">
        <v>2100</v>
      </c>
      <c r="D48" s="149">
        <v>75</v>
      </c>
      <c r="E48" s="149">
        <v>21</v>
      </c>
      <c r="F48" s="149">
        <v>12</v>
      </c>
      <c r="G48" s="149">
        <v>16</v>
      </c>
      <c r="L48" s="150">
        <f>SUM(C48:H48)</f>
        <v>2224</v>
      </c>
    </row>
    <row r="49" spans="1:12" x14ac:dyDescent="0.25">
      <c r="A49" t="s">
        <v>356</v>
      </c>
      <c r="C49" s="149">
        <v>6002</v>
      </c>
      <c r="D49" s="149">
        <v>215</v>
      </c>
      <c r="E49" s="149">
        <v>61</v>
      </c>
      <c r="F49" s="149">
        <v>34</v>
      </c>
      <c r="G49" s="149">
        <v>45</v>
      </c>
      <c r="J49" s="150">
        <f>SUM(C49:H49)</f>
        <v>6357</v>
      </c>
    </row>
    <row r="50" spans="1:12" x14ac:dyDescent="0.25">
      <c r="A50" t="s">
        <v>357</v>
      </c>
      <c r="C50" s="149">
        <v>3088</v>
      </c>
      <c r="D50" s="149">
        <v>111</v>
      </c>
      <c r="E50" s="149">
        <v>31</v>
      </c>
      <c r="F50" s="149">
        <v>18</v>
      </c>
      <c r="G50" s="149">
        <v>23</v>
      </c>
      <c r="J50" s="150">
        <f>SUM(C50:H50)</f>
        <v>3271</v>
      </c>
    </row>
    <row r="51" spans="1:12" x14ac:dyDescent="0.25">
      <c r="A51" t="s">
        <v>358</v>
      </c>
      <c r="C51" s="149">
        <v>3689</v>
      </c>
      <c r="D51" s="149">
        <v>132</v>
      </c>
      <c r="E51" s="149">
        <v>37</v>
      </c>
      <c r="F51" s="149">
        <v>21</v>
      </c>
      <c r="G51" s="149">
        <v>28</v>
      </c>
      <c r="J51" s="150">
        <f>SUM(C51:H51)</f>
        <v>3907</v>
      </c>
    </row>
    <row r="52" spans="1:12" x14ac:dyDescent="0.25">
      <c r="A52" t="s">
        <v>359</v>
      </c>
      <c r="C52" s="149">
        <v>23970</v>
      </c>
      <c r="D52" s="149">
        <v>859</v>
      </c>
      <c r="E52" s="149">
        <v>243</v>
      </c>
      <c r="F52" s="149">
        <v>137</v>
      </c>
      <c r="G52" s="149">
        <v>181</v>
      </c>
      <c r="J52" s="150">
        <f>SUM(C52:H52)</f>
        <v>25390</v>
      </c>
    </row>
    <row r="53" spans="1:12" x14ac:dyDescent="0.25">
      <c r="A53" s="151" t="s">
        <v>360</v>
      </c>
      <c r="L53" s="149">
        <v>-31610</v>
      </c>
    </row>
    <row r="55" spans="1:12" x14ac:dyDescent="0.25">
      <c r="A55" t="s">
        <v>361</v>
      </c>
      <c r="C55" s="149">
        <v>8625</v>
      </c>
      <c r="D55" s="149">
        <v>306</v>
      </c>
      <c r="F55" s="149">
        <v>49</v>
      </c>
      <c r="G55" s="149">
        <v>65</v>
      </c>
      <c r="J55" s="150">
        <f>SUM(C55:H55)</f>
        <v>9045</v>
      </c>
    </row>
    <row r="56" spans="1:12" x14ac:dyDescent="0.25">
      <c r="A56" t="s">
        <v>362</v>
      </c>
      <c r="C56" s="149">
        <v>15820</v>
      </c>
      <c r="D56" s="149">
        <v>567</v>
      </c>
      <c r="E56" s="149">
        <v>160</v>
      </c>
      <c r="F56" s="149">
        <v>90</v>
      </c>
      <c r="G56" s="149">
        <v>119</v>
      </c>
      <c r="H56" s="149"/>
      <c r="J56" s="150">
        <f>SUM(C56:H56)</f>
        <v>16756</v>
      </c>
    </row>
    <row r="57" spans="1:12" x14ac:dyDescent="0.25">
      <c r="C57" s="149"/>
      <c r="D57" s="149"/>
      <c r="E57" s="149"/>
      <c r="F57" s="149"/>
      <c r="G57" s="149"/>
      <c r="H57" s="149"/>
    </row>
    <row r="58" spans="1:12" x14ac:dyDescent="0.25">
      <c r="A58" t="s">
        <v>363</v>
      </c>
      <c r="C58" s="149">
        <v>2077</v>
      </c>
      <c r="D58" s="149">
        <v>74</v>
      </c>
      <c r="E58" s="149">
        <v>21</v>
      </c>
      <c r="F58" s="149">
        <v>12</v>
      </c>
      <c r="G58" s="149">
        <v>17</v>
      </c>
      <c r="H58" s="149"/>
      <c r="J58" s="150">
        <f>SUM(C58:H58)</f>
        <v>2201</v>
      </c>
    </row>
    <row r="59" spans="1:12" x14ac:dyDescent="0.25">
      <c r="A59" t="s">
        <v>364</v>
      </c>
      <c r="C59" s="149">
        <v>9370</v>
      </c>
      <c r="D59" s="149">
        <v>336</v>
      </c>
      <c r="E59" s="149">
        <v>95</v>
      </c>
      <c r="F59" s="149">
        <v>54</v>
      </c>
      <c r="G59" s="149">
        <v>71</v>
      </c>
      <c r="H59" s="149"/>
      <c r="J59" s="150">
        <f>SUM(C59:H59)</f>
        <v>9926</v>
      </c>
    </row>
    <row r="60" spans="1:12" x14ac:dyDescent="0.25">
      <c r="A60" t="s">
        <v>365</v>
      </c>
      <c r="C60" s="149">
        <v>2274</v>
      </c>
      <c r="D60" s="149">
        <v>81</v>
      </c>
      <c r="E60" s="149">
        <v>23</v>
      </c>
      <c r="F60" s="149">
        <v>13</v>
      </c>
      <c r="G60" s="149">
        <v>17</v>
      </c>
      <c r="H60" s="149"/>
      <c r="L60" s="150">
        <f>SUM(C60:H60)</f>
        <v>2408</v>
      </c>
    </row>
    <row r="61" spans="1:12" x14ac:dyDescent="0.25">
      <c r="A61" t="s">
        <v>366</v>
      </c>
      <c r="C61" s="149">
        <v>7948</v>
      </c>
      <c r="D61" s="149">
        <v>285</v>
      </c>
      <c r="E61" s="149">
        <v>81</v>
      </c>
      <c r="F61" s="149">
        <v>45</v>
      </c>
      <c r="G61" s="149">
        <v>60</v>
      </c>
      <c r="H61" s="149"/>
      <c r="J61" s="150">
        <f>SUM(C61:H61)</f>
        <v>8419</v>
      </c>
    </row>
    <row r="62" spans="1:12" x14ac:dyDescent="0.25">
      <c r="A62" t="s">
        <v>367</v>
      </c>
      <c r="C62" s="149">
        <v>5353</v>
      </c>
      <c r="D62" s="149">
        <v>192</v>
      </c>
      <c r="E62" s="149">
        <v>54</v>
      </c>
      <c r="F62" s="149">
        <v>30</v>
      </c>
      <c r="G62" s="149">
        <v>40</v>
      </c>
      <c r="H62" s="149"/>
      <c r="L62" s="150">
        <f>SUM(C62:H62)</f>
        <v>5669</v>
      </c>
    </row>
    <row r="63" spans="1:12" x14ac:dyDescent="0.25">
      <c r="A63" t="s">
        <v>368</v>
      </c>
      <c r="C63" s="149">
        <v>7764</v>
      </c>
      <c r="D63" s="149">
        <v>278</v>
      </c>
      <c r="E63" s="149">
        <v>79</v>
      </c>
      <c r="F63" s="149">
        <v>44</v>
      </c>
      <c r="G63" s="149">
        <v>59</v>
      </c>
      <c r="H63" s="149"/>
      <c r="L63" s="150">
        <f>SUM(C63:H63)</f>
        <v>8224</v>
      </c>
    </row>
    <row r="64" spans="1:12" x14ac:dyDescent="0.25">
      <c r="A64" t="s">
        <v>369</v>
      </c>
      <c r="C64" s="149">
        <v>23062</v>
      </c>
      <c r="D64" s="149">
        <v>826</v>
      </c>
      <c r="E64" s="149">
        <v>234</v>
      </c>
      <c r="F64" s="149">
        <v>131</v>
      </c>
      <c r="G64" s="149">
        <v>174</v>
      </c>
      <c r="H64" s="149"/>
      <c r="L64" s="150">
        <f>SUM(C64:H64)</f>
        <v>24427</v>
      </c>
    </row>
    <row r="65" spans="1:12" x14ac:dyDescent="0.25">
      <c r="A65" t="s">
        <v>370</v>
      </c>
      <c r="C65" s="149">
        <v>-10858</v>
      </c>
      <c r="D65" s="149">
        <v>-389</v>
      </c>
      <c r="E65" s="149">
        <v>-110</v>
      </c>
      <c r="F65" s="149">
        <v>-62</v>
      </c>
      <c r="G65" s="149">
        <v>-82</v>
      </c>
      <c r="H65" s="149"/>
      <c r="L65" s="150">
        <f>SUM(C65:H65)</f>
        <v>-11501</v>
      </c>
    </row>
    <row r="66" spans="1:12" x14ac:dyDescent="0.25">
      <c r="A66" t="s">
        <v>371</v>
      </c>
      <c r="C66" s="149">
        <v>23270</v>
      </c>
      <c r="D66" s="149">
        <v>833</v>
      </c>
      <c r="E66" s="149">
        <v>236</v>
      </c>
      <c r="F66" s="149">
        <v>132</v>
      </c>
      <c r="G66" s="149">
        <v>175</v>
      </c>
      <c r="H66" s="149"/>
      <c r="J66" s="150">
        <f>SUM(C66:H66)</f>
        <v>24646</v>
      </c>
    </row>
    <row r="67" spans="1:12" x14ac:dyDescent="0.25">
      <c r="A67" t="s">
        <v>372</v>
      </c>
      <c r="C67" s="149">
        <v>2499</v>
      </c>
      <c r="D67" s="149">
        <v>90</v>
      </c>
      <c r="E67" s="149">
        <v>25</v>
      </c>
      <c r="F67" s="149">
        <v>14</v>
      </c>
      <c r="G67" s="149">
        <v>19</v>
      </c>
      <c r="H67" s="149"/>
      <c r="L67" s="150">
        <f>SUM(C67:H67)</f>
        <v>2647</v>
      </c>
    </row>
    <row r="68" spans="1:12" x14ac:dyDescent="0.25">
      <c r="A68" t="s">
        <v>373</v>
      </c>
      <c r="C68" s="149">
        <v>6000</v>
      </c>
      <c r="D68" s="149">
        <v>215</v>
      </c>
      <c r="E68" s="149">
        <v>61</v>
      </c>
      <c r="F68" s="149">
        <v>34</v>
      </c>
      <c r="G68" s="149">
        <v>45</v>
      </c>
      <c r="H68" s="149"/>
      <c r="J68" s="150">
        <f>SUM(C68:H68)</f>
        <v>6355</v>
      </c>
    </row>
    <row r="69" spans="1:12" x14ac:dyDescent="0.25">
      <c r="A69" t="s">
        <v>374</v>
      </c>
      <c r="C69" s="149">
        <v>3641</v>
      </c>
      <c r="D69" s="149">
        <v>130</v>
      </c>
      <c r="E69" s="149">
        <v>37</v>
      </c>
      <c r="F69" s="149">
        <v>21</v>
      </c>
      <c r="G69" s="149">
        <v>27</v>
      </c>
      <c r="H69" s="149"/>
      <c r="J69" s="150">
        <f>SUM(C69:H69)</f>
        <v>3856</v>
      </c>
    </row>
    <row r="70" spans="1:12" x14ac:dyDescent="0.25">
      <c r="A70" t="s">
        <v>375</v>
      </c>
      <c r="C70" s="149">
        <v>9850</v>
      </c>
      <c r="D70" s="149">
        <v>353</v>
      </c>
      <c r="E70" s="149">
        <v>100</v>
      </c>
      <c r="F70" s="149">
        <v>56</v>
      </c>
      <c r="G70" s="149">
        <v>74</v>
      </c>
      <c r="H70" s="149"/>
      <c r="L70" s="150">
        <f>SUM(C70:H70)</f>
        <v>10433</v>
      </c>
    </row>
    <row r="71" spans="1:12" x14ac:dyDescent="0.25">
      <c r="A71" t="s">
        <v>376</v>
      </c>
      <c r="C71" s="149">
        <v>7607</v>
      </c>
      <c r="D71" s="149">
        <v>272</v>
      </c>
      <c r="E71" s="149">
        <v>77</v>
      </c>
      <c r="F71" s="149">
        <v>43</v>
      </c>
      <c r="G71" s="149">
        <v>57</v>
      </c>
      <c r="H71" s="149"/>
      <c r="J71" s="150">
        <f>SUM(C71:H71)</f>
        <v>8056</v>
      </c>
    </row>
    <row r="72" spans="1:12" x14ac:dyDescent="0.25">
      <c r="A72" t="s">
        <v>377</v>
      </c>
      <c r="C72" s="149">
        <v>9588</v>
      </c>
      <c r="D72" s="149">
        <v>469</v>
      </c>
      <c r="E72" s="149">
        <v>133</v>
      </c>
      <c r="F72" s="149">
        <v>74</v>
      </c>
      <c r="G72" s="149">
        <v>99</v>
      </c>
      <c r="H72" s="149"/>
      <c r="J72" s="150">
        <f>SUM(C72:H72)</f>
        <v>10363</v>
      </c>
    </row>
    <row r="73" spans="1:12" x14ac:dyDescent="0.25">
      <c r="A73" t="s">
        <v>378</v>
      </c>
      <c r="C73" s="149">
        <v>2632</v>
      </c>
      <c r="D73" s="149">
        <v>94</v>
      </c>
      <c r="E73" s="149">
        <v>27</v>
      </c>
      <c r="F73" s="149">
        <v>15</v>
      </c>
      <c r="G73" s="149">
        <v>20</v>
      </c>
      <c r="H73" s="149"/>
      <c r="J73" s="150">
        <f>SUM(C73:H73)</f>
        <v>2788</v>
      </c>
    </row>
    <row r="74" spans="1:12" x14ac:dyDescent="0.25">
      <c r="A74" t="s">
        <v>379</v>
      </c>
      <c r="C74" s="149">
        <v>3297</v>
      </c>
      <c r="D74" s="149">
        <v>118</v>
      </c>
      <c r="E74" s="149">
        <v>33</v>
      </c>
      <c r="F74" s="149">
        <v>19</v>
      </c>
      <c r="G74" s="149">
        <v>25</v>
      </c>
      <c r="H74" s="149"/>
      <c r="J74" s="150">
        <f>SUM(C74:H74)</f>
        <v>3492</v>
      </c>
    </row>
    <row r="75" spans="1:12" x14ac:dyDescent="0.25">
      <c r="A75" t="s">
        <v>380</v>
      </c>
      <c r="C75" s="149">
        <v>0</v>
      </c>
      <c r="D75" s="149"/>
      <c r="E75" s="149"/>
      <c r="F75" s="149"/>
      <c r="G75" s="149"/>
      <c r="H75" s="149">
        <v>-70000</v>
      </c>
      <c r="L75" s="150">
        <f>SUM(C75:H75)</f>
        <v>-70000</v>
      </c>
    </row>
    <row r="76" spans="1:12" x14ac:dyDescent="0.25">
      <c r="C76" s="149"/>
      <c r="D76" s="149"/>
      <c r="E76" s="149"/>
      <c r="F76" s="149"/>
      <c r="G76" s="149"/>
      <c r="H76" s="149"/>
    </row>
    <row r="77" spans="1:12" x14ac:dyDescent="0.25">
      <c r="A77" s="148" t="s">
        <v>381</v>
      </c>
      <c r="C77" s="149">
        <v>13798</v>
      </c>
      <c r="D77" s="149">
        <v>494</v>
      </c>
      <c r="E77" s="149">
        <v>141</v>
      </c>
      <c r="F77" s="149">
        <v>79</v>
      </c>
      <c r="G77" s="149">
        <v>104</v>
      </c>
      <c r="H77" s="149"/>
      <c r="J77" s="150">
        <f>SUM(C77:H77)</f>
        <v>14616</v>
      </c>
    </row>
    <row r="78" spans="1:12" x14ac:dyDescent="0.25">
      <c r="A78" s="148" t="s">
        <v>382</v>
      </c>
      <c r="C78" s="149">
        <v>5059</v>
      </c>
      <c r="D78" s="149">
        <v>181</v>
      </c>
      <c r="E78" s="149">
        <v>51</v>
      </c>
      <c r="F78" s="149">
        <v>29</v>
      </c>
      <c r="G78" s="149">
        <v>38</v>
      </c>
      <c r="H78" s="149"/>
      <c r="J78" s="150">
        <f>SUM(C78:H78)</f>
        <v>5358</v>
      </c>
    </row>
    <row r="79" spans="1:12" x14ac:dyDescent="0.25">
      <c r="A79" s="148" t="s">
        <v>383</v>
      </c>
      <c r="C79" s="149">
        <v>11973</v>
      </c>
      <c r="D79" s="149">
        <v>429</v>
      </c>
      <c r="E79" s="149">
        <v>121</v>
      </c>
      <c r="F79" s="149">
        <v>68</v>
      </c>
      <c r="G79" s="149">
        <v>90</v>
      </c>
      <c r="H79" s="149"/>
      <c r="L79" s="150">
        <f>SUM(C79:H79)</f>
        <v>12681</v>
      </c>
    </row>
    <row r="80" spans="1:12" x14ac:dyDescent="0.25">
      <c r="A80" s="148" t="s">
        <v>384</v>
      </c>
      <c r="C80" s="149">
        <v>4354</v>
      </c>
      <c r="D80" s="149">
        <v>156</v>
      </c>
      <c r="E80" s="149">
        <v>44</v>
      </c>
      <c r="F80" s="149">
        <v>25</v>
      </c>
      <c r="G80" s="149">
        <v>33</v>
      </c>
      <c r="H80" s="149"/>
      <c r="L80" s="150">
        <f>SUM(C80:H80)</f>
        <v>4612</v>
      </c>
    </row>
    <row r="81" spans="1:12" x14ac:dyDescent="0.25">
      <c r="A81" s="148" t="s">
        <v>385</v>
      </c>
      <c r="C81" s="149">
        <v>7838</v>
      </c>
      <c r="D81" s="149">
        <v>281</v>
      </c>
      <c r="E81" s="149">
        <v>79</v>
      </c>
      <c r="F81" s="149">
        <v>45</v>
      </c>
      <c r="G81" s="149">
        <v>60</v>
      </c>
      <c r="H81" s="149"/>
      <c r="L81" s="150">
        <f>SUM(C81:H81)</f>
        <v>8303</v>
      </c>
    </row>
    <row r="82" spans="1:12" x14ac:dyDescent="0.25">
      <c r="A82" s="148" t="s">
        <v>386</v>
      </c>
      <c r="C82" s="149">
        <v>11944</v>
      </c>
      <c r="D82" s="149">
        <v>428</v>
      </c>
      <c r="E82" s="149">
        <v>121</v>
      </c>
      <c r="F82" s="149">
        <v>68</v>
      </c>
      <c r="G82" s="149">
        <v>90</v>
      </c>
      <c r="H82" s="149"/>
      <c r="L82" s="150">
        <f>SUM(C82:H82)</f>
        <v>12651</v>
      </c>
    </row>
    <row r="83" spans="1:12" x14ac:dyDescent="0.25">
      <c r="A83" s="148" t="s">
        <v>387</v>
      </c>
      <c r="C83" s="149">
        <v>718</v>
      </c>
      <c r="D83" s="149">
        <v>26</v>
      </c>
      <c r="E83" s="149">
        <v>7</v>
      </c>
      <c r="F83" s="149">
        <v>4</v>
      </c>
      <c r="G83" s="149">
        <v>5</v>
      </c>
      <c r="H83" s="149"/>
      <c r="J83" s="150">
        <f>SUM(C83:H83)</f>
        <v>760</v>
      </c>
    </row>
    <row r="84" spans="1:12" x14ac:dyDescent="0.25">
      <c r="A84" s="148" t="s">
        <v>388</v>
      </c>
      <c r="C84" s="149">
        <v>2031</v>
      </c>
      <c r="D84" s="149">
        <v>73</v>
      </c>
      <c r="E84" s="149">
        <v>21</v>
      </c>
      <c r="F84" s="149">
        <v>12</v>
      </c>
      <c r="G84" s="149">
        <v>15</v>
      </c>
      <c r="H84" s="149"/>
      <c r="J84" s="150">
        <f>SUM(C84:H84)</f>
        <v>2152</v>
      </c>
    </row>
    <row r="85" spans="1:12" x14ac:dyDescent="0.25">
      <c r="A85" s="148" t="s">
        <v>389</v>
      </c>
      <c r="C85" s="149">
        <v>1370</v>
      </c>
      <c r="D85" s="149">
        <v>49</v>
      </c>
      <c r="E85" s="149">
        <v>14</v>
      </c>
      <c r="F85" s="149">
        <v>8</v>
      </c>
      <c r="G85" s="149">
        <v>10</v>
      </c>
      <c r="H85" s="149"/>
      <c r="L85" s="150">
        <f>SUM(C85:H85)</f>
        <v>1451</v>
      </c>
    </row>
    <row r="86" spans="1:12" x14ac:dyDescent="0.25">
      <c r="A86" s="148" t="s">
        <v>390</v>
      </c>
      <c r="C86" s="149">
        <v>2946</v>
      </c>
      <c r="D86" s="149">
        <v>106</v>
      </c>
      <c r="E86" s="149">
        <v>30</v>
      </c>
      <c r="F86" s="149">
        <v>17</v>
      </c>
      <c r="G86" s="149">
        <v>22</v>
      </c>
      <c r="H86" s="149"/>
      <c r="L86" s="150">
        <f>SUM(C86:H86)</f>
        <v>3121</v>
      </c>
    </row>
    <row r="87" spans="1:12" x14ac:dyDescent="0.25">
      <c r="A87" s="148" t="s">
        <v>391</v>
      </c>
      <c r="C87" s="149">
        <v>1539</v>
      </c>
      <c r="D87" s="149">
        <v>55</v>
      </c>
      <c r="E87" s="149">
        <v>16</v>
      </c>
      <c r="F87" s="149">
        <v>9</v>
      </c>
      <c r="G87" s="149">
        <v>12</v>
      </c>
      <c r="H87" s="149"/>
      <c r="J87" s="150">
        <f>SUM(C87:H87)</f>
        <v>1631</v>
      </c>
    </row>
    <row r="88" spans="1:12" x14ac:dyDescent="0.25">
      <c r="A88" s="148" t="s">
        <v>392</v>
      </c>
      <c r="C88" s="149">
        <v>7960</v>
      </c>
      <c r="D88" s="149">
        <v>285</v>
      </c>
      <c r="E88" s="149">
        <v>81</v>
      </c>
      <c r="F88" s="149">
        <v>45</v>
      </c>
      <c r="G88" s="149">
        <v>60</v>
      </c>
      <c r="H88" s="149"/>
      <c r="L88" s="150">
        <f>SUM(C88:H88)</f>
        <v>8431</v>
      </c>
    </row>
    <row r="89" spans="1:12" x14ac:dyDescent="0.25">
      <c r="A89" s="148" t="s">
        <v>393</v>
      </c>
      <c r="C89" s="149">
        <v>2753</v>
      </c>
      <c r="D89" s="149">
        <v>99</v>
      </c>
      <c r="E89" s="149">
        <v>28</v>
      </c>
      <c r="F89" s="149">
        <v>16</v>
      </c>
      <c r="G89" s="149">
        <v>21</v>
      </c>
      <c r="H89" s="149"/>
      <c r="J89" s="150">
        <f>SUM(C89:H89)</f>
        <v>2917</v>
      </c>
    </row>
    <row r="90" spans="1:12" x14ac:dyDescent="0.25">
      <c r="A90" s="148" t="s">
        <v>394</v>
      </c>
      <c r="C90" s="149">
        <v>6374</v>
      </c>
      <c r="D90" s="149">
        <v>228</v>
      </c>
      <c r="E90" s="149">
        <v>65</v>
      </c>
      <c r="F90" s="149">
        <v>36</v>
      </c>
      <c r="G90" s="149">
        <v>48</v>
      </c>
      <c r="H90" s="149"/>
      <c r="J90" s="150">
        <f>SUM(C90:H90)</f>
        <v>6751</v>
      </c>
    </row>
    <row r="91" spans="1:12" x14ac:dyDescent="0.25">
      <c r="A91" s="148" t="s">
        <v>395</v>
      </c>
      <c r="C91" s="149">
        <v>16129</v>
      </c>
      <c r="D91" s="149">
        <v>291</v>
      </c>
      <c r="E91" s="149">
        <v>84</v>
      </c>
      <c r="F91" s="149">
        <v>46</v>
      </c>
      <c r="G91" s="149">
        <v>62</v>
      </c>
      <c r="H91" s="149">
        <v>-8000</v>
      </c>
      <c r="J91" s="150"/>
      <c r="L91" s="152">
        <f>SUM(C91:H91)</f>
        <v>8612</v>
      </c>
    </row>
    <row r="92" spans="1:12" x14ac:dyDescent="0.25">
      <c r="A92" s="148" t="s">
        <v>396</v>
      </c>
      <c r="C92" s="149"/>
      <c r="D92" s="149"/>
      <c r="E92" s="149"/>
      <c r="F92" s="149"/>
      <c r="G92" s="149"/>
      <c r="H92" s="149">
        <v>-62300</v>
      </c>
      <c r="L92" s="150">
        <f>SUM(C92:H92)</f>
        <v>-62300</v>
      </c>
    </row>
    <row r="93" spans="1:12" x14ac:dyDescent="0.25">
      <c r="A93" s="148" t="s">
        <v>397</v>
      </c>
      <c r="C93" s="149">
        <v>9138</v>
      </c>
      <c r="D93" s="149">
        <v>328</v>
      </c>
      <c r="E93" s="149">
        <v>93</v>
      </c>
      <c r="F93" s="149">
        <v>52</v>
      </c>
      <c r="G93" s="149">
        <v>69</v>
      </c>
      <c r="H93" s="149"/>
      <c r="J93" s="150">
        <f>SUM(C93:H93)</f>
        <v>9680</v>
      </c>
    </row>
    <row r="94" spans="1:12" x14ac:dyDescent="0.25">
      <c r="A94" s="148" t="s">
        <v>398</v>
      </c>
      <c r="C94" s="149">
        <v>8426</v>
      </c>
      <c r="D94" s="149">
        <v>302</v>
      </c>
      <c r="E94" s="149">
        <v>85</v>
      </c>
      <c r="F94" s="149">
        <v>48</v>
      </c>
      <c r="G94" s="149">
        <v>64</v>
      </c>
      <c r="H94" s="149"/>
      <c r="L94" s="150">
        <f>SUM(C94:H94)</f>
        <v>8925</v>
      </c>
    </row>
    <row r="95" spans="1:12" x14ac:dyDescent="0.25">
      <c r="A95" s="148" t="s">
        <v>399</v>
      </c>
      <c r="C95" s="149">
        <v>7992</v>
      </c>
      <c r="D95" s="149"/>
      <c r="E95" s="149"/>
      <c r="F95" s="149"/>
      <c r="G95" s="149"/>
      <c r="H95" s="149">
        <v>-5000</v>
      </c>
      <c r="L95" s="150">
        <f>SUM(C95:H95)</f>
        <v>2992</v>
      </c>
    </row>
    <row r="96" spans="1:12" x14ac:dyDescent="0.25">
      <c r="A96" s="148" t="s">
        <v>400</v>
      </c>
      <c r="C96" s="149">
        <v>13459</v>
      </c>
      <c r="D96" s="149">
        <v>482</v>
      </c>
      <c r="E96" s="149">
        <v>136</v>
      </c>
      <c r="F96" s="149">
        <v>76</v>
      </c>
      <c r="G96" s="149">
        <v>101</v>
      </c>
      <c r="H96" s="149"/>
      <c r="L96" s="150">
        <f>SUM(C96:H96)</f>
        <v>14254</v>
      </c>
    </row>
    <row r="97" spans="1:12" x14ac:dyDescent="0.25">
      <c r="A97" s="148" t="s">
        <v>401</v>
      </c>
      <c r="C97" s="149">
        <v>37947</v>
      </c>
      <c r="D97" s="149">
        <v>1001</v>
      </c>
      <c r="E97" s="149">
        <v>283</v>
      </c>
      <c r="F97" s="149">
        <v>159</v>
      </c>
      <c r="G97" s="149">
        <v>212</v>
      </c>
      <c r="H97" s="149">
        <v>-10000</v>
      </c>
      <c r="L97" s="150">
        <f>SUM(C97:H97)</f>
        <v>29602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PROJECT</vt:lpstr>
      <vt:lpstr>Sheet1</vt:lpstr>
      <vt:lpstr>BUDGET</vt:lpstr>
      <vt:lpstr>Lucas CO Funding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2024-12-11T23:24:40Z</dcterms:modified>
</cp:coreProperties>
</file>